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C:\SVN\Jamilo\trunk\Werkplaats\Arne\EK-Pool_2024\Deelnemers\"/>
    </mc:Choice>
  </mc:AlternateContent>
  <xr:revisionPtr revIDLastSave="0" documentId="13_ncr:1_{029CB90B-E84E-42CC-A9CC-1385905B3290}" xr6:coauthVersionLast="47" xr6:coauthVersionMax="47" xr10:uidLastSave="{00000000-0000-0000-0000-000000000000}"/>
  <workbookProtection workbookAlgorithmName="SHA-512" workbookHashValue="acwKsfj68eU6lbJbA9RYYbLMdapx1V4zTNVnG/TgKxXqv7W4IlwdW9myccVtxe6zwxXzPGT28Nh5JkqgXpycCQ==" workbookSaltValue="3GxH1nCvGCK0g9Agh6dZfg==" workbookSpinCount="100000" lockStructure="1"/>
  <bookViews>
    <workbookView xWindow="-120" yWindow="-120" windowWidth="38640" windowHeight="21120" firstSheet="4" activeTab="7" xr2:uid="{B6E20815-AA29-43F0-B733-76444C7C59F3}"/>
  </bookViews>
  <sheets>
    <sheet name="Taal01" sheetId="60" state="hidden" r:id="rId1"/>
    <sheet name="Taal02" sheetId="63" state="hidden" r:id="rId2"/>
    <sheet name="Taal03" sheetId="61" state="hidden" r:id="rId3"/>
    <sheet name="Taal04" sheetId="62" state="hidden" r:id="rId4"/>
    <sheet name="Voorblad" sheetId="25" r:id="rId5"/>
    <sheet name="Reglement" sheetId="29" r:id="rId6"/>
    <sheet name="Prijzenpot" sheetId="41" r:id="rId7"/>
    <sheet name="Groepswedstrijden" sheetId="39" r:id="rId8"/>
    <sheet name="Eindstand Groep" sheetId="38" r:id="rId9"/>
    <sheet name="Finalewedstrijden" sheetId="34" r:id="rId10"/>
    <sheet name="Teams" sheetId="64" state="hidden" r:id="rId11"/>
    <sheet name="Deelnamecode" sheetId="46" r:id="rId12"/>
  </sheets>
  <definedNames>
    <definedName name="_REGLEMENTCODE">#REF!</definedName>
    <definedName name="DEENAMECODE">Deelnamecode!$C$137</definedName>
    <definedName name="_xlnm.Print_Area" localSheetId="11">Deelnamecode!$C$3:$P$48</definedName>
    <definedName name="_xlnm.Print_Area" localSheetId="8">'Eindstand Groep'!$C$3:$Q$67</definedName>
    <definedName name="_xlnm.Print_Area" localSheetId="9">Finalewedstrijden!$C$3:$Z$63</definedName>
    <definedName name="_xlnm.Print_Area" localSheetId="7">Groepswedstrijden!$C$3:$W$72</definedName>
    <definedName name="_xlnm.Print_Area" localSheetId="6">Prijzenpot!$C$3:$N$86</definedName>
    <definedName name="_xlnm.Print_Area" localSheetId="5">Reglement!$C$3:$N$71</definedName>
    <definedName name="_xlnm.Print_Area" localSheetId="10">Teams!$C$3:$P$190</definedName>
    <definedName name="_xlnm.Print_Area" localSheetId="4">Voorblad!$C$3:$S$62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7" i="39" l="1"/>
  <c r="AF67" i="25"/>
  <c r="E14" i="34" l="1"/>
  <c r="AF133" i="46"/>
  <c r="E142" i="62" l="1"/>
  <c r="AE127" i="34"/>
  <c r="AE126" i="34"/>
  <c r="AE125" i="34"/>
  <c r="AE124" i="34"/>
  <c r="AE123" i="34"/>
  <c r="AE122" i="34"/>
  <c r="AF180" i="34" s="1"/>
  <c r="AE121" i="34"/>
  <c r="AE120" i="34"/>
  <c r="AC175" i="34"/>
  <c r="AC174" i="34"/>
  <c r="AC173" i="34"/>
  <c r="AC179" i="34"/>
  <c r="AF129" i="34"/>
  <c r="AR164" i="34" l="1"/>
  <c r="AC168" i="34"/>
  <c r="AC161" i="34"/>
  <c r="AC156" i="34"/>
  <c r="AC172" i="34"/>
  <c r="AR163" i="34"/>
  <c r="AF157" i="34"/>
  <c r="AK147" i="34"/>
  <c r="AK146" i="34"/>
  <c r="AE147" i="34"/>
  <c r="AE146" i="34"/>
  <c r="X11" i="38" l="1"/>
  <c r="X10" i="38"/>
  <c r="X9" i="38"/>
  <c r="X7" i="38"/>
  <c r="X6" i="38"/>
  <c r="AN60" i="39" l="1"/>
  <c r="AM60" i="39"/>
  <c r="AL60" i="39"/>
  <c r="AO59" i="39"/>
  <c r="AM59" i="39"/>
  <c r="AL59" i="39"/>
  <c r="AO58" i="39"/>
  <c r="AN58" i="39"/>
  <c r="AL58" i="39"/>
  <c r="AO57" i="39"/>
  <c r="AN57" i="39"/>
  <c r="AM51" i="39"/>
  <c r="AL51" i="39"/>
  <c r="AO50" i="39"/>
  <c r="AM50" i="39"/>
  <c r="AL50" i="39"/>
  <c r="AO49" i="39"/>
  <c r="AN49" i="39"/>
  <c r="AL49" i="39"/>
  <c r="AO48" i="39"/>
  <c r="AN48" i="39"/>
  <c r="AM48" i="39"/>
  <c r="AN42" i="39"/>
  <c r="AM42" i="39"/>
  <c r="AL42" i="39"/>
  <c r="AO41" i="39"/>
  <c r="AM41" i="39"/>
  <c r="AL41" i="39"/>
  <c r="AO40" i="39"/>
  <c r="AN40" i="39"/>
  <c r="AL40" i="39"/>
  <c r="AO39" i="39"/>
  <c r="AN39" i="39"/>
  <c r="AM39" i="39"/>
  <c r="AN33" i="39"/>
  <c r="AM33" i="39"/>
  <c r="AL33" i="39"/>
  <c r="AO32" i="39"/>
  <c r="AM32" i="39"/>
  <c r="AL32" i="39"/>
  <c r="AO31" i="39"/>
  <c r="AN31" i="39"/>
  <c r="AL31" i="39"/>
  <c r="AO30" i="39"/>
  <c r="AN30" i="39"/>
  <c r="AM30" i="39"/>
  <c r="AN24" i="39"/>
  <c r="AM24" i="39"/>
  <c r="AL24" i="39"/>
  <c r="AO23" i="39"/>
  <c r="AM23" i="39"/>
  <c r="AL23" i="39"/>
  <c r="AO22" i="39"/>
  <c r="AN22" i="39"/>
  <c r="AL22" i="39"/>
  <c r="AN21" i="39"/>
  <c r="AM15" i="39"/>
  <c r="AL15" i="39"/>
  <c r="AM14" i="39"/>
  <c r="AO13" i="39"/>
  <c r="AN13" i="39"/>
  <c r="AO12" i="39"/>
  <c r="D16" i="34"/>
  <c r="D18" i="34" s="1"/>
  <c r="E18" i="34"/>
  <c r="E22" i="34" s="1"/>
  <c r="E26" i="34" s="1"/>
  <c r="E36" i="34" s="1"/>
  <c r="E40" i="34" s="1"/>
  <c r="O59" i="39"/>
  <c r="O60" i="39" s="1"/>
  <c r="O58" i="39"/>
  <c r="O57" i="39"/>
  <c r="O56" i="39"/>
  <c r="O55" i="39"/>
  <c r="E59" i="39"/>
  <c r="E60" i="39" s="1"/>
  <c r="E58" i="39"/>
  <c r="E57" i="39"/>
  <c r="E56" i="39"/>
  <c r="E55" i="39"/>
  <c r="O49" i="39"/>
  <c r="O50" i="39" s="1"/>
  <c r="O48" i="39"/>
  <c r="O47" i="39"/>
  <c r="O46" i="39"/>
  <c r="O45" i="39"/>
  <c r="E49" i="39"/>
  <c r="E50" i="39" s="1"/>
  <c r="E48" i="39"/>
  <c r="E47" i="39"/>
  <c r="E46" i="39"/>
  <c r="D46" i="39"/>
  <c r="E45" i="39"/>
  <c r="O39" i="39"/>
  <c r="O40" i="39" s="1"/>
  <c r="O38" i="39"/>
  <c r="O37" i="39"/>
  <c r="O36" i="39"/>
  <c r="N36" i="39"/>
  <c r="O35" i="39"/>
  <c r="N35" i="39"/>
  <c r="E39" i="39"/>
  <c r="E40" i="39" s="1"/>
  <c r="E38" i="39"/>
  <c r="E37" i="39"/>
  <c r="E36" i="39"/>
  <c r="D36" i="39"/>
  <c r="E35" i="39"/>
  <c r="D35" i="39"/>
  <c r="O29" i="39"/>
  <c r="O30" i="39" s="1"/>
  <c r="O28" i="39"/>
  <c r="O27" i="39"/>
  <c r="O26" i="39"/>
  <c r="N26" i="39"/>
  <c r="O25" i="39"/>
  <c r="N25" i="39"/>
  <c r="E29" i="39"/>
  <c r="F29" i="39" s="1"/>
  <c r="E28" i="39"/>
  <c r="E27" i="39"/>
  <c r="E26" i="39"/>
  <c r="D26" i="39"/>
  <c r="E25" i="39"/>
  <c r="F25" i="39" s="1"/>
  <c r="D25" i="39"/>
  <c r="F26" i="39"/>
  <c r="F27" i="39"/>
  <c r="F28" i="39"/>
  <c r="AF68" i="25"/>
  <c r="AF69" i="25"/>
  <c r="AF70" i="25"/>
  <c r="AF71" i="25"/>
  <c r="AF72" i="25"/>
  <c r="AF73" i="25"/>
  <c r="AF74" i="25"/>
  <c r="AF75" i="25"/>
  <c r="AF76" i="25"/>
  <c r="AF77" i="25"/>
  <c r="AF78" i="25"/>
  <c r="AF79" i="25"/>
  <c r="AF80" i="25"/>
  <c r="AF81" i="25"/>
  <c r="AF82" i="25"/>
  <c r="AF83" i="25"/>
  <c r="AF84" i="25"/>
  <c r="AF85" i="25"/>
  <c r="AF86" i="25"/>
  <c r="AF87" i="25"/>
  <c r="AF88" i="25"/>
  <c r="AF89" i="25"/>
  <c r="AF90" i="25"/>
  <c r="AF91" i="25"/>
  <c r="AF92" i="25"/>
  <c r="AF93" i="25"/>
  <c r="AF94" i="25"/>
  <c r="AF95" i="25"/>
  <c r="AF96" i="25"/>
  <c r="AF97" i="25"/>
  <c r="AF98" i="25"/>
  <c r="D20" i="34" l="1"/>
  <c r="D22" i="34" s="1"/>
  <c r="D24" i="34" s="1"/>
  <c r="E16" i="34"/>
  <c r="E20" i="34" s="1"/>
  <c r="E24" i="34" s="1"/>
  <c r="E28" i="34" s="1"/>
  <c r="E38" i="34" s="1"/>
  <c r="E42" i="34" s="1"/>
  <c r="E30" i="39"/>
  <c r="F30" i="39" s="1"/>
  <c r="F82" i="63"/>
  <c r="F81" i="63"/>
  <c r="F80" i="63"/>
  <c r="F79" i="63"/>
  <c r="F78" i="63"/>
  <c r="F77" i="63"/>
  <c r="F76" i="63"/>
  <c r="F75" i="63"/>
  <c r="E82" i="63"/>
  <c r="E81" i="63"/>
  <c r="E80" i="63"/>
  <c r="E79" i="63"/>
  <c r="E78" i="63"/>
  <c r="E77" i="63"/>
  <c r="E76" i="63"/>
  <c r="E75" i="63"/>
  <c r="D82" i="63"/>
  <c r="D81" i="63"/>
  <c r="D80" i="63"/>
  <c r="D79" i="63"/>
  <c r="D78" i="63"/>
  <c r="D77" i="63"/>
  <c r="D76" i="63"/>
  <c r="D75" i="63"/>
  <c r="C82" i="63"/>
  <c r="C81" i="63"/>
  <c r="C80" i="63"/>
  <c r="C79" i="63"/>
  <c r="C78" i="63"/>
  <c r="C77" i="63"/>
  <c r="C76" i="63"/>
  <c r="C75" i="63"/>
  <c r="A120" i="61"/>
  <c r="E1" i="29"/>
  <c r="E1" i="41"/>
  <c r="E1" i="39"/>
  <c r="E1" i="38"/>
  <c r="E1" i="34"/>
  <c r="E1" i="64"/>
  <c r="E1" i="46"/>
  <c r="D26" i="34" l="1"/>
  <c r="AM12" i="39"/>
  <c r="D28" i="34" l="1"/>
  <c r="D36" i="34" l="1"/>
  <c r="D38" i="34" s="1"/>
  <c r="D40" i="34" s="1"/>
  <c r="D42" i="34" s="1"/>
  <c r="T3" i="64"/>
  <c r="A270" i="62" l="1"/>
  <c r="T5" i="64"/>
  <c r="T6" i="64" l="1"/>
  <c r="M220" i="64"/>
  <c r="M219" i="64"/>
  <c r="M218" i="64"/>
  <c r="M217" i="64"/>
  <c r="M216" i="64"/>
  <c r="M215" i="64"/>
  <c r="M214" i="64"/>
  <c r="M213" i="64"/>
  <c r="M212" i="64"/>
  <c r="M211" i="64"/>
  <c r="M210" i="64"/>
  <c r="M209" i="64"/>
  <c r="M208" i="64"/>
  <c r="M207" i="64"/>
  <c r="M206" i="64"/>
  <c r="M205" i="64"/>
  <c r="M204" i="64"/>
  <c r="M203" i="64"/>
  <c r="M202" i="64"/>
  <c r="M201" i="64"/>
  <c r="T13" i="64"/>
  <c r="T12" i="64"/>
  <c r="S20" i="64"/>
  <c r="S25" i="64" s="1"/>
  <c r="L220" i="64"/>
  <c r="L219" i="64"/>
  <c r="L218" i="64"/>
  <c r="L217" i="64"/>
  <c r="L216" i="64"/>
  <c r="L215" i="64"/>
  <c r="L214" i="64"/>
  <c r="L213" i="64"/>
  <c r="L212" i="64"/>
  <c r="L211" i="64"/>
  <c r="L210" i="64"/>
  <c r="L209" i="64"/>
  <c r="L208" i="64"/>
  <c r="L207" i="64"/>
  <c r="L206" i="64"/>
  <c r="L205" i="64"/>
  <c r="L204" i="64"/>
  <c r="L203" i="64"/>
  <c r="L202" i="64"/>
  <c r="L201" i="64"/>
  <c r="B201" i="64"/>
  <c r="B202" i="64" s="1"/>
  <c r="B203" i="64" s="1"/>
  <c r="B204" i="64" s="1"/>
  <c r="B205" i="64" s="1"/>
  <c r="B206" i="64" s="1"/>
  <c r="B207" i="64" s="1"/>
  <c r="B208" i="64" s="1"/>
  <c r="B209" i="64" s="1"/>
  <c r="B210" i="64" s="1"/>
  <c r="B211" i="64" s="1"/>
  <c r="B212" i="64" s="1"/>
  <c r="B213" i="64" s="1"/>
  <c r="B214" i="64" s="1"/>
  <c r="B215" i="64" s="1"/>
  <c r="B216" i="64" s="1"/>
  <c r="B217" i="64" s="1"/>
  <c r="B218" i="64" s="1"/>
  <c r="B219" i="64" s="1"/>
  <c r="B220" i="64" s="1"/>
  <c r="S9" i="64"/>
  <c r="Q206" i="64" l="1"/>
  <c r="Q209" i="64"/>
  <c r="T11" i="64"/>
  <c r="S30" i="64"/>
  <c r="T4" i="64"/>
  <c r="T16" i="64" s="1"/>
  <c r="T26" i="64" l="1"/>
  <c r="T27" i="64" s="1"/>
  <c r="T31" i="64"/>
  <c r="T21" i="64"/>
  <c r="T24" i="64" s="1" a="1"/>
  <c r="T17" i="64"/>
  <c r="R15" i="64"/>
  <c r="R19" i="64"/>
  <c r="S35" i="64"/>
  <c r="T36" i="64" s="1"/>
  <c r="T18" i="64" a="1"/>
  <c r="T15" i="64" a="1"/>
  <c r="D15" i="64" a="1"/>
  <c r="T19" i="64" a="1"/>
  <c r="T15" i="64" l="1"/>
  <c r="T22" i="64"/>
  <c r="T19" i="64"/>
  <c r="O201" i="64" s="1"/>
  <c r="T18" i="64"/>
  <c r="T24" i="64"/>
  <c r="O202" i="64" s="1"/>
  <c r="R34" i="64"/>
  <c r="R30" i="64"/>
  <c r="T32" i="64"/>
  <c r="R29" i="64"/>
  <c r="R25" i="64"/>
  <c r="R35" i="64"/>
  <c r="R39" i="64"/>
  <c r="R24" i="64"/>
  <c r="R20" i="64"/>
  <c r="T37" i="64"/>
  <c r="S40" i="64"/>
  <c r="T41" i="64" s="1"/>
  <c r="D15" i="64"/>
  <c r="T39" i="64" a="1"/>
  <c r="T34" i="64" a="1"/>
  <c r="T29" i="64" a="1"/>
  <c r="T25" i="64" a="1"/>
  <c r="T35" i="64" a="1"/>
  <c r="D30" i="64" a="1"/>
  <c r="T23" i="64" a="1"/>
  <c r="T33" i="64" a="1"/>
  <c r="T20" i="64" a="1"/>
  <c r="D25" i="64" a="1"/>
  <c r="T38" i="64" a="1"/>
  <c r="T30" i="64" a="1"/>
  <c r="D20" i="64" a="1"/>
  <c r="D35" i="64" a="1"/>
  <c r="T28" i="64" a="1"/>
  <c r="T29" i="64" l="1"/>
  <c r="O203" i="64" s="1"/>
  <c r="T25" i="64"/>
  <c r="D25" i="64"/>
  <c r="T28" i="64"/>
  <c r="R27" i="64" s="1"/>
  <c r="T35" i="64"/>
  <c r="T30" i="64"/>
  <c r="T20" i="64"/>
  <c r="D20" i="64"/>
  <c r="T23" i="64"/>
  <c r="R22" i="64" s="1"/>
  <c r="R40" i="64"/>
  <c r="T34" i="64"/>
  <c r="O204" i="64" s="1"/>
  <c r="T39" i="64"/>
  <c r="O205" i="64" s="1"/>
  <c r="R44" i="64"/>
  <c r="T33" i="64"/>
  <c r="R31" i="64" s="1"/>
  <c r="D30" i="64"/>
  <c r="D35" i="64"/>
  <c r="T38" i="64"/>
  <c r="R36" i="64" s="1"/>
  <c r="T42" i="64"/>
  <c r="S45" i="64"/>
  <c r="T46" i="64" s="1"/>
  <c r="R17" i="64"/>
  <c r="R18" i="64"/>
  <c r="R16" i="64"/>
  <c r="T44" i="64" a="1"/>
  <c r="D16" i="64" a="1"/>
  <c r="T40" i="64" a="1"/>
  <c r="T43" i="64" a="1"/>
  <c r="D40" i="64" a="1"/>
  <c r="R28" i="64" l="1"/>
  <c r="R26" i="64"/>
  <c r="D21" i="64" a="1"/>
  <c r="D21" i="64" s="1"/>
  <c r="D16" i="64"/>
  <c r="T40" i="64"/>
  <c r="R21" i="64"/>
  <c r="R23" i="64"/>
  <c r="T44" i="64"/>
  <c r="O206" i="64" s="1"/>
  <c r="R49" i="64"/>
  <c r="R45" i="64"/>
  <c r="R33" i="64"/>
  <c r="R32" i="64"/>
  <c r="D40" i="64"/>
  <c r="T43" i="64"/>
  <c r="D41" i="64" s="1" a="1"/>
  <c r="T47" i="64"/>
  <c r="S50" i="64"/>
  <c r="T51" i="64" s="1"/>
  <c r="R38" i="64"/>
  <c r="R37" i="64"/>
  <c r="T49" i="64" a="1"/>
  <c r="D31" i="64" a="1"/>
  <c r="D36" i="64" a="1"/>
  <c r="T45" i="64" a="1"/>
  <c r="D26" i="64" a="1"/>
  <c r="D36" i="64" l="1"/>
  <c r="D26" i="64"/>
  <c r="T45" i="64"/>
  <c r="T49" i="64"/>
  <c r="O207" i="64" s="1"/>
  <c r="T54" i="64" a="1"/>
  <c r="T54" i="64" s="1"/>
  <c r="O208" i="64" s="1"/>
  <c r="R54" i="64"/>
  <c r="R50" i="64"/>
  <c r="D31" i="64"/>
  <c r="D41" i="64"/>
  <c r="R41" i="64"/>
  <c r="R42" i="64"/>
  <c r="R43" i="64"/>
  <c r="T52" i="64"/>
  <c r="S55" i="64"/>
  <c r="T56" i="64" s="1"/>
  <c r="D190" i="64"/>
  <c r="D1" i="64"/>
  <c r="C1" i="64"/>
  <c r="B1" i="64"/>
  <c r="A1" i="64"/>
  <c r="T48" i="64" a="1"/>
  <c r="D45" i="64" a="1"/>
  <c r="T50" i="64" a="1"/>
  <c r="T48" i="64" l="1"/>
  <c r="R47" i="64" s="1"/>
  <c r="D45" i="64"/>
  <c r="T50" i="64"/>
  <c r="T59" i="64" a="1"/>
  <c r="T59" i="64" s="1"/>
  <c r="O209" i="64" s="1"/>
  <c r="R59" i="64"/>
  <c r="R55" i="64"/>
  <c r="T57" i="64"/>
  <c r="S60" i="64"/>
  <c r="T61" i="64" s="1"/>
  <c r="F145" i="61"/>
  <c r="E145" i="61"/>
  <c r="D145" i="61"/>
  <c r="C145" i="61"/>
  <c r="F144" i="61"/>
  <c r="E144" i="61"/>
  <c r="D144" i="61"/>
  <c r="C144" i="61"/>
  <c r="F143" i="61"/>
  <c r="E143" i="61"/>
  <c r="D143" i="61"/>
  <c r="C143" i="61"/>
  <c r="F136" i="61"/>
  <c r="E136" i="61"/>
  <c r="D136" i="61"/>
  <c r="C136" i="61"/>
  <c r="T65" i="29"/>
  <c r="T63" i="29"/>
  <c r="T61" i="29"/>
  <c r="F118" i="61"/>
  <c r="E118" i="61"/>
  <c r="D118" i="61"/>
  <c r="C118" i="61"/>
  <c r="F116" i="61"/>
  <c r="E116" i="61"/>
  <c r="D116" i="61"/>
  <c r="C116" i="61"/>
  <c r="F115" i="61"/>
  <c r="E115" i="61"/>
  <c r="D115" i="61"/>
  <c r="C115" i="61"/>
  <c r="F114" i="61"/>
  <c r="E114" i="61"/>
  <c r="D114" i="61"/>
  <c r="C114" i="61"/>
  <c r="F113" i="61"/>
  <c r="E113" i="61"/>
  <c r="D113" i="61"/>
  <c r="C113" i="61"/>
  <c r="F112" i="61"/>
  <c r="E112" i="61"/>
  <c r="D112" i="61"/>
  <c r="C112" i="61"/>
  <c r="F111" i="61"/>
  <c r="E111" i="61"/>
  <c r="D111" i="61"/>
  <c r="C111" i="61"/>
  <c r="F110" i="61"/>
  <c r="E110" i="61"/>
  <c r="D110" i="61"/>
  <c r="C110" i="61"/>
  <c r="T55" i="64" a="1"/>
  <c r="T53" i="64" a="1"/>
  <c r="D50" i="64" a="1"/>
  <c r="R48" i="64" l="1"/>
  <c r="R46" i="64"/>
  <c r="T55" i="64"/>
  <c r="T53" i="64"/>
  <c r="R52" i="64" s="1"/>
  <c r="D50" i="64"/>
  <c r="T64" i="64" a="1"/>
  <c r="T64" i="64" s="1"/>
  <c r="O210" i="64" s="1"/>
  <c r="R64" i="64"/>
  <c r="R60" i="64"/>
  <c r="T62" i="64"/>
  <c r="S66" i="64"/>
  <c r="T67" i="64" s="1"/>
  <c r="AQ11" i="34"/>
  <c r="D60" i="64" a="1"/>
  <c r="T58" i="64" a="1"/>
  <c r="D55" i="64" a="1"/>
  <c r="D46" i="64" a="1"/>
  <c r="D46" i="64" l="1"/>
  <c r="R53" i="64"/>
  <c r="R51" i="64"/>
  <c r="D55" i="64"/>
  <c r="T58" i="64"/>
  <c r="R56" i="64" s="1"/>
  <c r="R66" i="64"/>
  <c r="R70" i="64"/>
  <c r="D60" i="64"/>
  <c r="T68" i="64"/>
  <c r="S72" i="64"/>
  <c r="T73" i="64" s="1"/>
  <c r="AR168" i="34"/>
  <c r="AR169" i="34"/>
  <c r="AR167" i="34"/>
  <c r="AR166" i="34"/>
  <c r="AR165" i="34"/>
  <c r="AC170" i="34"/>
  <c r="AC169" i="34"/>
  <c r="T70" i="64" a="1"/>
  <c r="T60" i="64" a="1"/>
  <c r="T69" i="64" a="1"/>
  <c r="D51" i="64" a="1"/>
  <c r="T63" i="64" a="1"/>
  <c r="T70" i="64" l="1"/>
  <c r="O211" i="64" s="1"/>
  <c r="T60" i="64"/>
  <c r="T63" i="64"/>
  <c r="R62" i="64" s="1"/>
  <c r="D51" i="64"/>
  <c r="R57" i="64"/>
  <c r="R58" i="64"/>
  <c r="T76" i="64" a="1"/>
  <c r="T76" i="64" s="1"/>
  <c r="O212" i="64" s="1"/>
  <c r="R72" i="64"/>
  <c r="R76" i="64"/>
  <c r="T69" i="64"/>
  <c r="T74" i="64"/>
  <c r="S78" i="64"/>
  <c r="T79" i="64" s="1"/>
  <c r="R82" i="64" s="1"/>
  <c r="T75" i="64" a="1"/>
  <c r="T66" i="64" a="1"/>
  <c r="D66" i="64" a="1"/>
  <c r="D56" i="64" a="1"/>
  <c r="D66" i="64" l="1"/>
  <c r="T66" i="64"/>
  <c r="R63" i="64"/>
  <c r="R61" i="64"/>
  <c r="D56" i="64"/>
  <c r="T82" i="64" a="1"/>
  <c r="T82" i="64" s="1"/>
  <c r="O213" i="64" s="1"/>
  <c r="R78" i="64"/>
  <c r="T75" i="64"/>
  <c r="T80" i="64"/>
  <c r="S84" i="64"/>
  <c r="T85" i="64" s="1"/>
  <c r="R67" i="64"/>
  <c r="R69" i="64"/>
  <c r="R68" i="64"/>
  <c r="T72" i="64" a="1"/>
  <c r="D61" i="64" a="1"/>
  <c r="D72" i="64" a="1"/>
  <c r="T78" i="64" a="1"/>
  <c r="D67" i="64" a="1"/>
  <c r="T78" i="64" l="1"/>
  <c r="D67" i="64"/>
  <c r="D61" i="64"/>
  <c r="D72" i="64"/>
  <c r="T72" i="64"/>
  <c r="T88" i="64" a="1"/>
  <c r="T88" i="64" s="1"/>
  <c r="O214" i="64" s="1"/>
  <c r="R84" i="64"/>
  <c r="R88" i="64"/>
  <c r="T86" i="64"/>
  <c r="S90" i="64"/>
  <c r="T91" i="64" s="1"/>
  <c r="T90" i="64" s="1" a="1"/>
  <c r="T90" i="64" s="1"/>
  <c r="R73" i="64"/>
  <c r="R74" i="64"/>
  <c r="R75" i="64"/>
  <c r="AQ12" i="34"/>
  <c r="D46" i="34"/>
  <c r="D48" i="34" s="1"/>
  <c r="AO75" i="39"/>
  <c r="AN76" i="39"/>
  <c r="AM77" i="39"/>
  <c r="AL78" i="39"/>
  <c r="AM78" i="39"/>
  <c r="AO76" i="39"/>
  <c r="AN75" i="39"/>
  <c r="AL77" i="39"/>
  <c r="AO77" i="39"/>
  <c r="AN78" i="39"/>
  <c r="AM75" i="39"/>
  <c r="AL76" i="39"/>
  <c r="AN67" i="39"/>
  <c r="AN66" i="39"/>
  <c r="AL67" i="39"/>
  <c r="AM66" i="39"/>
  <c r="P60" i="39"/>
  <c r="P58" i="39"/>
  <c r="P57" i="39"/>
  <c r="P56" i="39"/>
  <c r="P55" i="39"/>
  <c r="AO66" i="39"/>
  <c r="AL69" i="39"/>
  <c r="AM68" i="39"/>
  <c r="AL68" i="39"/>
  <c r="AO67" i="39"/>
  <c r="AM69" i="39"/>
  <c r="AN69" i="39"/>
  <c r="AO68" i="39"/>
  <c r="F60" i="39"/>
  <c r="F58" i="39"/>
  <c r="F57" i="39"/>
  <c r="F56" i="39"/>
  <c r="F55" i="39"/>
  <c r="P49" i="39"/>
  <c r="P48" i="39"/>
  <c r="P47" i="39"/>
  <c r="P46" i="39"/>
  <c r="P45" i="39"/>
  <c r="F50" i="39"/>
  <c r="F48" i="39"/>
  <c r="F47" i="39"/>
  <c r="F46" i="39"/>
  <c r="F45" i="39"/>
  <c r="P40" i="39"/>
  <c r="P38" i="39"/>
  <c r="P37" i="39"/>
  <c r="P36" i="39"/>
  <c r="P35" i="39"/>
  <c r="F40" i="39"/>
  <c r="F38" i="39"/>
  <c r="F37" i="39"/>
  <c r="F36" i="39"/>
  <c r="F35" i="39"/>
  <c r="P30" i="39"/>
  <c r="P28" i="39"/>
  <c r="P27" i="39"/>
  <c r="P26" i="39"/>
  <c r="P25" i="39"/>
  <c r="D84" i="64" a="1"/>
  <c r="T87" i="64" a="1"/>
  <c r="D73" i="64" a="1"/>
  <c r="T81" i="64" a="1"/>
  <c r="D78" i="64" a="1"/>
  <c r="T81" i="64" l="1"/>
  <c r="D79" i="64" s="1" a="1"/>
  <c r="D78" i="64"/>
  <c r="D73" i="64"/>
  <c r="T94" i="64" a="1"/>
  <c r="T94" i="64" s="1"/>
  <c r="O215" i="64" s="1"/>
  <c r="R94" i="64"/>
  <c r="R90" i="64"/>
  <c r="T87" i="64"/>
  <c r="D84" i="64"/>
  <c r="T92" i="64"/>
  <c r="S96" i="64"/>
  <c r="T97" i="64" s="1"/>
  <c r="T96" i="64" s="1" a="1"/>
  <c r="T96" i="64" s="1"/>
  <c r="F18" i="34"/>
  <c r="F14" i="34"/>
  <c r="P50" i="39"/>
  <c r="F49" i="39"/>
  <c r="F59" i="39"/>
  <c r="P59" i="39"/>
  <c r="P39" i="39"/>
  <c r="F39" i="39"/>
  <c r="P29" i="39"/>
  <c r="D65" i="60"/>
  <c r="E65" i="60" s="1"/>
  <c r="F65" i="60" s="1"/>
  <c r="C65" i="60"/>
  <c r="C64" i="60"/>
  <c r="D64" i="60" s="1"/>
  <c r="E64" i="60" s="1"/>
  <c r="F64" i="60" s="1"/>
  <c r="C63" i="60"/>
  <c r="D63" i="60" s="1"/>
  <c r="E63" i="60" s="1"/>
  <c r="F63" i="60" s="1"/>
  <c r="C62" i="60"/>
  <c r="D62" i="60" s="1"/>
  <c r="E62" i="60" s="1"/>
  <c r="F62" i="60" s="1"/>
  <c r="C61" i="60"/>
  <c r="D61" i="60" s="1"/>
  <c r="E61" i="60" s="1"/>
  <c r="F61" i="60" s="1"/>
  <c r="A61" i="60"/>
  <c r="A62" i="60" s="1"/>
  <c r="A63" i="60" s="1"/>
  <c r="A64" i="60" s="1"/>
  <c r="A65" i="60" s="1"/>
  <c r="W70" i="25"/>
  <c r="A55" i="60"/>
  <c r="A56" i="60" s="1"/>
  <c r="W69" i="25"/>
  <c r="D90" i="64" a="1"/>
  <c r="T93" i="64" a="1"/>
  <c r="T84" i="64" a="1"/>
  <c r="D79" i="64" l="1"/>
  <c r="T84" i="64"/>
  <c r="R79" i="64"/>
  <c r="R80" i="64"/>
  <c r="R81" i="64"/>
  <c r="T100" i="64" a="1"/>
  <c r="T100" i="64" s="1"/>
  <c r="O216" i="64" s="1"/>
  <c r="R100" i="64"/>
  <c r="R96" i="64"/>
  <c r="T98" i="64"/>
  <c r="S102" i="64"/>
  <c r="T103" i="64" s="1"/>
  <c r="T102" i="64" s="1" a="1"/>
  <c r="T102" i="64" s="1"/>
  <c r="T93" i="64"/>
  <c r="D90" i="64"/>
  <c r="R85" i="64"/>
  <c r="D85" i="64" a="1"/>
  <c r="D85" i="64" s="1"/>
  <c r="R87" i="64"/>
  <c r="R86" i="64"/>
  <c r="F16" i="34"/>
  <c r="F22" i="34"/>
  <c r="T99" i="64" a="1"/>
  <c r="D96" i="64" a="1"/>
  <c r="T106" i="64" l="1" a="1"/>
  <c r="T106" i="64" s="1"/>
  <c r="O217" i="64" s="1"/>
  <c r="R102" i="64"/>
  <c r="R106" i="64"/>
  <c r="D96" i="64"/>
  <c r="T99" i="64"/>
  <c r="R98" i="64" s="1"/>
  <c r="T104" i="64"/>
  <c r="S108" i="64"/>
  <c r="T109" i="64" s="1"/>
  <c r="T108" i="64" s="1" a="1"/>
  <c r="T108" i="64" s="1"/>
  <c r="D91" i="64" a="1"/>
  <c r="D91" i="64" s="1"/>
  <c r="R92" i="64"/>
  <c r="R93" i="64"/>
  <c r="R91" i="64"/>
  <c r="F26" i="34"/>
  <c r="F20" i="34"/>
  <c r="T105" i="64" a="1"/>
  <c r="D102" i="64" a="1"/>
  <c r="R112" i="64" l="1"/>
  <c r="T112" i="64" a="1"/>
  <c r="T112" i="64" s="1"/>
  <c r="O218" i="64" s="1"/>
  <c r="R108" i="64"/>
  <c r="D97" i="64" a="1"/>
  <c r="D97" i="64" s="1"/>
  <c r="R97" i="64"/>
  <c r="R99" i="64"/>
  <c r="D102" i="64"/>
  <c r="T105" i="64"/>
  <c r="T110" i="64"/>
  <c r="S114" i="64"/>
  <c r="T115" i="64" s="1"/>
  <c r="T114" i="64" s="1" a="1"/>
  <c r="T114" i="64" s="1"/>
  <c r="F36" i="34"/>
  <c r="F40" i="34"/>
  <c r="F24" i="34"/>
  <c r="D108" i="64" a="1"/>
  <c r="T111" i="64" a="1"/>
  <c r="R118" i="64" l="1"/>
  <c r="R114" i="64"/>
  <c r="T118" i="64" a="1"/>
  <c r="T118" i="64" s="1"/>
  <c r="O219" i="64" s="1"/>
  <c r="T111" i="64"/>
  <c r="D108" i="64"/>
  <c r="T116" i="64"/>
  <c r="S120" i="64"/>
  <c r="R103" i="64"/>
  <c r="D103" i="64" a="1"/>
  <c r="D103" i="64" s="1"/>
  <c r="R104" i="64"/>
  <c r="R105" i="64"/>
  <c r="F28" i="34"/>
  <c r="T117" i="64" a="1"/>
  <c r="D114" i="64" a="1"/>
  <c r="T121" i="64" l="1"/>
  <c r="T120" i="64" s="1" a="1"/>
  <c r="T120" i="64" s="1"/>
  <c r="D114" i="64"/>
  <c r="T117" i="64"/>
  <c r="D109" i="64" a="1"/>
  <c r="D109" i="64" s="1"/>
  <c r="R110" i="64"/>
  <c r="R109" i="64"/>
  <c r="R111" i="64"/>
  <c r="F38" i="34"/>
  <c r="AL14" i="39"/>
  <c r="AN12" i="39"/>
  <c r="R120" i="64" l="1"/>
  <c r="T124" i="64" a="1"/>
  <c r="T124" i="64" s="1"/>
  <c r="O220" i="64" s="1"/>
  <c r="Q203" i="64" s="1"/>
  <c r="Q212" i="64" s="1"/>
  <c r="R124" i="64"/>
  <c r="D120" i="64" a="1"/>
  <c r="D120" i="64" s="1"/>
  <c r="T123" i="64" a="1"/>
  <c r="T123" i="64" s="1"/>
  <c r="D121" i="64" s="1" a="1"/>
  <c r="D121" i="64" s="1"/>
  <c r="T122" i="64"/>
  <c r="R115" i="64"/>
  <c r="D115" i="64" a="1"/>
  <c r="D115" i="64" s="1"/>
  <c r="R117" i="64"/>
  <c r="R116" i="64"/>
  <c r="F42" i="34"/>
  <c r="E46" i="34"/>
  <c r="A6" i="62"/>
  <c r="A6" i="61"/>
  <c r="A6" i="63"/>
  <c r="Q215" i="64" l="1"/>
  <c r="T114" i="46" s="1"/>
  <c r="T115" i="46"/>
  <c r="R121" i="64"/>
  <c r="R122" i="64"/>
  <c r="R123" i="64"/>
  <c r="F46" i="34"/>
  <c r="E48" i="34"/>
  <c r="E52" i="34" s="1"/>
  <c r="S131" i="64" l="1"/>
  <c r="S134" i="64" s="1"/>
  <c r="W115" i="46"/>
  <c r="T116" i="46" s="1"/>
  <c r="F48" i="34"/>
  <c r="AD55" i="46"/>
  <c r="U85" i="46" s="1"/>
  <c r="AC55" i="46"/>
  <c r="Z55" i="46"/>
  <c r="Y58" i="46"/>
  <c r="AF58" i="46" s="1"/>
  <c r="Y57" i="46"/>
  <c r="AC57" i="46" s="1"/>
  <c r="Y56" i="46"/>
  <c r="B129" i="46"/>
  <c r="I124" i="46" l="1"/>
  <c r="H124" i="46"/>
  <c r="K124" i="46"/>
  <c r="J124" i="46"/>
  <c r="G124" i="46"/>
  <c r="Y114" i="46"/>
  <c r="Y115" i="46"/>
  <c r="Y116" i="46"/>
  <c r="T71" i="64"/>
  <c r="T119" i="64"/>
  <c r="T125" i="64"/>
  <c r="T107" i="64"/>
  <c r="T113" i="64"/>
  <c r="T95" i="64"/>
  <c r="T101" i="64"/>
  <c r="T83" i="64"/>
  <c r="T89" i="64"/>
  <c r="T77" i="64"/>
  <c r="T65" i="64"/>
  <c r="F52" i="34"/>
  <c r="E56" i="34"/>
  <c r="F56" i="34" s="1"/>
  <c r="AA58" i="46"/>
  <c r="U81" i="46"/>
  <c r="Z57" i="46"/>
  <c r="AD57" i="46"/>
  <c r="AA57" i="46"/>
  <c r="AE57" i="46"/>
  <c r="AD58" i="46"/>
  <c r="AB58" i="46"/>
  <c r="AC58" i="46"/>
  <c r="AE58" i="46"/>
  <c r="Z58" i="46"/>
  <c r="U75" i="46" l="1"/>
  <c r="U95" i="46"/>
  <c r="U91" i="46"/>
  <c r="U71" i="46"/>
  <c r="AC151" i="34" l="1"/>
  <c r="AC148" i="34"/>
  <c r="AC138" i="34" l="1"/>
  <c r="AC128" i="34"/>
  <c r="AC117" i="34"/>
  <c r="AQ156" i="34" l="1"/>
  <c r="AQ157" i="34" s="1"/>
  <c r="AQ158" i="34" s="1"/>
  <c r="AQ159" i="34" s="1"/>
  <c r="AQ160" i="34" s="1"/>
  <c r="AQ161" i="34" s="1"/>
  <c r="AQ162" i="34" s="1"/>
  <c r="AQ163" i="34" s="1"/>
  <c r="AQ164" i="34" s="1"/>
  <c r="AQ165" i="34" s="1"/>
  <c r="AQ166" i="34" s="1"/>
  <c r="AQ167" i="34" s="1"/>
  <c r="AQ168" i="34" s="1"/>
  <c r="AQ169" i="34" s="1"/>
  <c r="AL108" i="34" l="1"/>
  <c r="AL105" i="34"/>
  <c r="AL101" i="34"/>
  <c r="AL95" i="34"/>
  <c r="AB111" i="34"/>
  <c r="BA108" i="34"/>
  <c r="BA109" i="34" s="1"/>
  <c r="AO108" i="34"/>
  <c r="AM108" i="34"/>
  <c r="AK108" i="34"/>
  <c r="AI108" i="34"/>
  <c r="AG108" i="34"/>
  <c r="AB108" i="34"/>
  <c r="AO105" i="34"/>
  <c r="AM105" i="34"/>
  <c r="AK105" i="34"/>
  <c r="AI105" i="34"/>
  <c r="AG105" i="34"/>
  <c r="AB105" i="34"/>
  <c r="AO101" i="34"/>
  <c r="AO95" i="34"/>
  <c r="AB95" i="34"/>
  <c r="AB101" i="34"/>
  <c r="AM101" i="34"/>
  <c r="AK101" i="34"/>
  <c r="AI101" i="34"/>
  <c r="AG101" i="34"/>
  <c r="AM95" i="34"/>
  <c r="AK95" i="34"/>
  <c r="AI95" i="34"/>
  <c r="AG95" i="34"/>
  <c r="BA110" i="34" l="1"/>
  <c r="AE85" i="34"/>
  <c r="AC85" i="34"/>
  <c r="AC105" i="34" l="1"/>
  <c r="AC95" i="34"/>
  <c r="AC108" i="34"/>
  <c r="AC101" i="34"/>
  <c r="AE105" i="34"/>
  <c r="AE95" i="34"/>
  <c r="AE101" i="34"/>
  <c r="AE108" i="34"/>
  <c r="BA111" i="34"/>
  <c r="X8" i="38"/>
  <c r="X12" i="38" s="1"/>
  <c r="BA74" i="34"/>
  <c r="BA75" i="34" s="1"/>
  <c r="BA76" i="34" s="1"/>
  <c r="BA77" i="34" s="1"/>
  <c r="BA78" i="34" s="1"/>
  <c r="BA79" i="34" s="1"/>
  <c r="BA80" i="34" s="1"/>
  <c r="BA81" i="34" s="1"/>
  <c r="BA82" i="34" s="1"/>
  <c r="BA83" i="34" s="1"/>
  <c r="BA84" i="34" s="1"/>
  <c r="BA85" i="34" s="1"/>
  <c r="BA86" i="34" s="1"/>
  <c r="BA87" i="34" s="1"/>
  <c r="BA88" i="34" s="1"/>
  <c r="BA89" i="34" s="1"/>
  <c r="BA90" i="34" s="1"/>
  <c r="BA91" i="34" s="1"/>
  <c r="BA92" i="34" s="1"/>
  <c r="BA93" i="34" s="1"/>
  <c r="BA94" i="34" s="1"/>
  <c r="BA95" i="34" s="1"/>
  <c r="BA96" i="34" s="1"/>
  <c r="BA97" i="34" s="1"/>
  <c r="BA98" i="34" s="1"/>
  <c r="BA99" i="34" s="1"/>
  <c r="BA100" i="34" s="1"/>
  <c r="BA101" i="34" s="1"/>
  <c r="BA102" i="34" s="1"/>
  <c r="BA103" i="34" s="1"/>
  <c r="BA104" i="34" s="1"/>
  <c r="BA105" i="34" s="1"/>
  <c r="BA52" i="34"/>
  <c r="BA53" i="34" s="1"/>
  <c r="BA54" i="34" s="1"/>
  <c r="BA55" i="34" s="1"/>
  <c r="BA56" i="34" s="1"/>
  <c r="BA57" i="34" s="1"/>
  <c r="BA58" i="34" s="1"/>
  <c r="BA59" i="34" s="1"/>
  <c r="BA60" i="34" s="1"/>
  <c r="BA61" i="34" s="1"/>
  <c r="BA62" i="34" s="1"/>
  <c r="BA63" i="34" s="1"/>
  <c r="BA64" i="34" s="1"/>
  <c r="BA65" i="34" s="1"/>
  <c r="BA66" i="34" s="1"/>
  <c r="BA67" i="34" s="1"/>
  <c r="BA68" i="34" s="1"/>
  <c r="BA69" i="34" s="1"/>
  <c r="BA70" i="34" s="1"/>
  <c r="BA71" i="34" s="1"/>
  <c r="BA30" i="34"/>
  <c r="BA31" i="34" s="1"/>
  <c r="BA32" i="34" s="1"/>
  <c r="BA33" i="34" s="1"/>
  <c r="BA34" i="34" s="1"/>
  <c r="BA35" i="34" s="1"/>
  <c r="BA36" i="34" s="1"/>
  <c r="BA37" i="34" s="1"/>
  <c r="BA38" i="34" s="1"/>
  <c r="BA39" i="34" s="1"/>
  <c r="BA40" i="34" s="1"/>
  <c r="BA41" i="34" s="1"/>
  <c r="BA42" i="34" s="1"/>
  <c r="BA43" i="34" s="1"/>
  <c r="BA44" i="34" s="1"/>
  <c r="BA45" i="34" s="1"/>
  <c r="BA46" i="34" s="1"/>
  <c r="BA47" i="34" s="1"/>
  <c r="BA48" i="34" s="1"/>
  <c r="BA49" i="34" s="1"/>
  <c r="BA12" i="34"/>
  <c r="BA13" i="34" s="1"/>
  <c r="BA14" i="34" s="1"/>
  <c r="BA15" i="34" s="1"/>
  <c r="BA16" i="34" s="1"/>
  <c r="BA17" i="34" s="1"/>
  <c r="BA18" i="34" s="1"/>
  <c r="BA19" i="34" s="1"/>
  <c r="BA20" i="34" s="1"/>
  <c r="BA21" i="34" l="1"/>
  <c r="BA22" i="34" s="1"/>
  <c r="BA23" i="34" s="1"/>
  <c r="BA24" i="34" s="1"/>
  <c r="BA25" i="34" s="1"/>
  <c r="BA26" i="34" s="1"/>
  <c r="BA27" i="34" s="1"/>
  <c r="BA112" i="34"/>
  <c r="AJ30" i="34"/>
  <c r="BA113" i="34" l="1"/>
  <c r="E101" i="63"/>
  <c r="E102" i="63" s="1"/>
  <c r="E103" i="63" s="1"/>
  <c r="E104" i="63" s="1"/>
  <c r="E105" i="63" s="1"/>
  <c r="E106" i="63" s="1"/>
  <c r="E107" i="63" s="1"/>
  <c r="E108" i="63" s="1"/>
  <c r="E109" i="63" s="1"/>
  <c r="E110" i="63" s="1"/>
  <c r="E111" i="63" s="1"/>
  <c r="E112" i="63" s="1"/>
  <c r="E113" i="63" s="1"/>
  <c r="E114" i="63" s="1"/>
  <c r="E115" i="63" s="1"/>
  <c r="E116" i="63" s="1"/>
  <c r="E117" i="63" s="1"/>
  <c r="E118" i="63" s="1"/>
  <c r="E119" i="63" s="1"/>
  <c r="E120" i="63" s="1"/>
  <c r="E121" i="63" s="1"/>
  <c r="E122" i="63" s="1"/>
  <c r="E123" i="63" s="1"/>
  <c r="E124" i="63" s="1"/>
  <c r="E125" i="63" s="1"/>
  <c r="E126" i="63" s="1"/>
  <c r="E127" i="63" s="1"/>
  <c r="E128" i="63" s="1"/>
  <c r="E129" i="63" s="1"/>
  <c r="E130" i="63" s="1"/>
  <c r="E131" i="63" s="1"/>
  <c r="B389" i="63"/>
  <c r="B390" i="63" s="1"/>
  <c r="B391" i="63" s="1"/>
  <c r="B392" i="63" s="1"/>
  <c r="B393" i="63" s="1"/>
  <c r="B394" i="63" s="1"/>
  <c r="B395" i="63" s="1"/>
  <c r="B396" i="63" s="1"/>
  <c r="B397" i="63" s="1"/>
  <c r="B398" i="63" s="1"/>
  <c r="B399" i="63" s="1"/>
  <c r="B400" i="63" s="1"/>
  <c r="B401" i="63" s="1"/>
  <c r="B402" i="63" s="1"/>
  <c r="B403" i="63" s="1"/>
  <c r="B404" i="63" s="1"/>
  <c r="B405" i="63" s="1"/>
  <c r="B406" i="63" s="1"/>
  <c r="B407" i="63" s="1"/>
  <c r="B408" i="63" s="1"/>
  <c r="B409" i="63" s="1"/>
  <c r="B410" i="63" s="1"/>
  <c r="B411" i="63" s="1"/>
  <c r="B412" i="63" s="1"/>
  <c r="B413" i="63" s="1"/>
  <c r="B414" i="63" s="1"/>
  <c r="B415" i="63" s="1"/>
  <c r="B416" i="63" s="1"/>
  <c r="B417" i="63" s="1"/>
  <c r="B418" i="63" s="1"/>
  <c r="B419" i="63" s="1"/>
  <c r="B357" i="63"/>
  <c r="B358" i="63" s="1"/>
  <c r="B359" i="63" s="1"/>
  <c r="B360" i="63" s="1"/>
  <c r="B361" i="63" s="1"/>
  <c r="B362" i="63" s="1"/>
  <c r="B363" i="63" s="1"/>
  <c r="B364" i="63" s="1"/>
  <c r="B365" i="63" s="1"/>
  <c r="B366" i="63" s="1"/>
  <c r="B367" i="63" s="1"/>
  <c r="B368" i="63" s="1"/>
  <c r="B369" i="63" s="1"/>
  <c r="B370" i="63" s="1"/>
  <c r="B371" i="63" s="1"/>
  <c r="B372" i="63" s="1"/>
  <c r="B373" i="63" s="1"/>
  <c r="B374" i="63" s="1"/>
  <c r="B375" i="63" s="1"/>
  <c r="B376" i="63" s="1"/>
  <c r="B377" i="63" s="1"/>
  <c r="B378" i="63" s="1"/>
  <c r="B379" i="63" s="1"/>
  <c r="B380" i="63" s="1"/>
  <c r="B381" i="63" s="1"/>
  <c r="B382" i="63" s="1"/>
  <c r="B383" i="63" s="1"/>
  <c r="B384" i="63" s="1"/>
  <c r="B385" i="63" s="1"/>
  <c r="B386" i="63" s="1"/>
  <c r="B387" i="63" s="1"/>
  <c r="B325" i="63"/>
  <c r="B326" i="63" s="1"/>
  <c r="B327" i="63" s="1"/>
  <c r="B328" i="63" s="1"/>
  <c r="B329" i="63" s="1"/>
  <c r="B330" i="63" s="1"/>
  <c r="B331" i="63" s="1"/>
  <c r="B332" i="63" s="1"/>
  <c r="B333" i="63" s="1"/>
  <c r="B334" i="63" s="1"/>
  <c r="B335" i="63" s="1"/>
  <c r="B336" i="63" s="1"/>
  <c r="B337" i="63" s="1"/>
  <c r="B338" i="63" s="1"/>
  <c r="B339" i="63" s="1"/>
  <c r="B340" i="63" s="1"/>
  <c r="B341" i="63" s="1"/>
  <c r="B342" i="63" s="1"/>
  <c r="B343" i="63" s="1"/>
  <c r="B344" i="63" s="1"/>
  <c r="B345" i="63" s="1"/>
  <c r="B346" i="63" s="1"/>
  <c r="B347" i="63" s="1"/>
  <c r="B348" i="63" s="1"/>
  <c r="B349" i="63" s="1"/>
  <c r="B350" i="63" s="1"/>
  <c r="B351" i="63" s="1"/>
  <c r="B352" i="63" s="1"/>
  <c r="B353" i="63" s="1"/>
  <c r="B354" i="63" s="1"/>
  <c r="B355" i="63" s="1"/>
  <c r="B293" i="63"/>
  <c r="B294" i="63" s="1"/>
  <c r="B295" i="63" s="1"/>
  <c r="B296" i="63" s="1"/>
  <c r="B297" i="63" s="1"/>
  <c r="B298" i="63" s="1"/>
  <c r="B299" i="63" s="1"/>
  <c r="B300" i="63" s="1"/>
  <c r="B301" i="63" s="1"/>
  <c r="B302" i="63" s="1"/>
  <c r="B303" i="63" s="1"/>
  <c r="B304" i="63" s="1"/>
  <c r="B305" i="63" s="1"/>
  <c r="B306" i="63" s="1"/>
  <c r="B307" i="63" s="1"/>
  <c r="B308" i="63" s="1"/>
  <c r="B309" i="63" s="1"/>
  <c r="B310" i="63" s="1"/>
  <c r="B311" i="63" s="1"/>
  <c r="B312" i="63" s="1"/>
  <c r="B313" i="63" s="1"/>
  <c r="B314" i="63" s="1"/>
  <c r="B315" i="63" s="1"/>
  <c r="B316" i="63" s="1"/>
  <c r="B317" i="63" s="1"/>
  <c r="B318" i="63" s="1"/>
  <c r="B319" i="63" s="1"/>
  <c r="B320" i="63" s="1"/>
  <c r="B321" i="63" s="1"/>
  <c r="B322" i="63" s="1"/>
  <c r="B323" i="63" s="1"/>
  <c r="B261" i="63"/>
  <c r="B262" i="63" s="1"/>
  <c r="B263" i="63" s="1"/>
  <c r="B264" i="63" s="1"/>
  <c r="B265" i="63" s="1"/>
  <c r="B266" i="63" s="1"/>
  <c r="B267" i="63" s="1"/>
  <c r="B268" i="63" s="1"/>
  <c r="B269" i="63" s="1"/>
  <c r="B270" i="63" s="1"/>
  <c r="B271" i="63" s="1"/>
  <c r="B272" i="63" s="1"/>
  <c r="B273" i="63" s="1"/>
  <c r="B274" i="63" s="1"/>
  <c r="B275" i="63" s="1"/>
  <c r="B276" i="63" s="1"/>
  <c r="B277" i="63" s="1"/>
  <c r="B278" i="63" s="1"/>
  <c r="B279" i="63" s="1"/>
  <c r="B280" i="63" s="1"/>
  <c r="B281" i="63" s="1"/>
  <c r="B282" i="63" s="1"/>
  <c r="B283" i="63" s="1"/>
  <c r="B284" i="63" s="1"/>
  <c r="B285" i="63" s="1"/>
  <c r="B286" i="63" s="1"/>
  <c r="B287" i="63" s="1"/>
  <c r="B288" i="63" s="1"/>
  <c r="B289" i="63" s="1"/>
  <c r="B290" i="63" s="1"/>
  <c r="B291" i="63" s="1"/>
  <c r="B229" i="63"/>
  <c r="B230" i="63" s="1"/>
  <c r="B231" i="63" s="1"/>
  <c r="B232" i="63" s="1"/>
  <c r="B233" i="63" s="1"/>
  <c r="B234" i="63" s="1"/>
  <c r="B235" i="63" s="1"/>
  <c r="B236" i="63" s="1"/>
  <c r="B237" i="63" s="1"/>
  <c r="B238" i="63" s="1"/>
  <c r="B239" i="63" s="1"/>
  <c r="B240" i="63" s="1"/>
  <c r="B241" i="63" s="1"/>
  <c r="B242" i="63" s="1"/>
  <c r="B243" i="63" s="1"/>
  <c r="B244" i="63" s="1"/>
  <c r="B245" i="63" s="1"/>
  <c r="B246" i="63" s="1"/>
  <c r="B247" i="63" s="1"/>
  <c r="B248" i="63" s="1"/>
  <c r="B249" i="63" s="1"/>
  <c r="B250" i="63" s="1"/>
  <c r="B251" i="63" s="1"/>
  <c r="B252" i="63" s="1"/>
  <c r="B253" i="63" s="1"/>
  <c r="B254" i="63" s="1"/>
  <c r="B255" i="63" s="1"/>
  <c r="B256" i="63" s="1"/>
  <c r="B257" i="63" s="1"/>
  <c r="B258" i="63" s="1"/>
  <c r="B259" i="63" s="1"/>
  <c r="B197" i="63"/>
  <c r="B198" i="63" s="1"/>
  <c r="B199" i="63" s="1"/>
  <c r="B200" i="63" s="1"/>
  <c r="B201" i="63" s="1"/>
  <c r="B202" i="63" s="1"/>
  <c r="B203" i="63" s="1"/>
  <c r="B204" i="63" s="1"/>
  <c r="B205" i="63" s="1"/>
  <c r="B206" i="63" s="1"/>
  <c r="B207" i="63" s="1"/>
  <c r="B208" i="63" s="1"/>
  <c r="B209" i="63" s="1"/>
  <c r="B210" i="63" s="1"/>
  <c r="B211" i="63" s="1"/>
  <c r="B212" i="63" s="1"/>
  <c r="B213" i="63" s="1"/>
  <c r="B214" i="63" s="1"/>
  <c r="B215" i="63" s="1"/>
  <c r="B216" i="63" s="1"/>
  <c r="B217" i="63" s="1"/>
  <c r="B218" i="63" s="1"/>
  <c r="B219" i="63" s="1"/>
  <c r="B220" i="63" s="1"/>
  <c r="B221" i="63" s="1"/>
  <c r="B222" i="63" s="1"/>
  <c r="B223" i="63" s="1"/>
  <c r="B224" i="63" s="1"/>
  <c r="B225" i="63" s="1"/>
  <c r="B226" i="63" s="1"/>
  <c r="B227" i="63" s="1"/>
  <c r="B165" i="63"/>
  <c r="B166" i="63" s="1"/>
  <c r="B167" i="63" s="1"/>
  <c r="B168" i="63" s="1"/>
  <c r="B169" i="63" s="1"/>
  <c r="B170" i="63" s="1"/>
  <c r="B171" i="63" s="1"/>
  <c r="B172" i="63" s="1"/>
  <c r="B173" i="63" s="1"/>
  <c r="B174" i="63" s="1"/>
  <c r="B175" i="63" s="1"/>
  <c r="B176" i="63" s="1"/>
  <c r="B177" i="63" s="1"/>
  <c r="B178" i="63" s="1"/>
  <c r="B179" i="63" s="1"/>
  <c r="B180" i="63" s="1"/>
  <c r="B181" i="63" s="1"/>
  <c r="B182" i="63" s="1"/>
  <c r="B183" i="63" s="1"/>
  <c r="B184" i="63" s="1"/>
  <c r="B185" i="63" s="1"/>
  <c r="B186" i="63" s="1"/>
  <c r="B187" i="63" s="1"/>
  <c r="B188" i="63" s="1"/>
  <c r="B189" i="63" s="1"/>
  <c r="B190" i="63" s="1"/>
  <c r="B191" i="63" s="1"/>
  <c r="B192" i="63" s="1"/>
  <c r="B193" i="63" s="1"/>
  <c r="B194" i="63" s="1"/>
  <c r="B195" i="63" s="1"/>
  <c r="A132" i="63"/>
  <c r="A133" i="63" s="1"/>
  <c r="A134" i="63" s="1"/>
  <c r="B133" i="63"/>
  <c r="B134" i="63" s="1"/>
  <c r="B135" i="63" s="1"/>
  <c r="B136" i="63" s="1"/>
  <c r="B137" i="63" s="1"/>
  <c r="B138" i="63" s="1"/>
  <c r="B139" i="63" s="1"/>
  <c r="B140" i="63" s="1"/>
  <c r="B141" i="63" s="1"/>
  <c r="B142" i="63" s="1"/>
  <c r="B143" i="63" s="1"/>
  <c r="B144" i="63" s="1"/>
  <c r="B145" i="63" s="1"/>
  <c r="B146" i="63" s="1"/>
  <c r="B147" i="63" s="1"/>
  <c r="B148" i="63" s="1"/>
  <c r="B149" i="63" s="1"/>
  <c r="B150" i="63" s="1"/>
  <c r="B151" i="63" s="1"/>
  <c r="B152" i="63" s="1"/>
  <c r="B153" i="63" s="1"/>
  <c r="B154" i="63" s="1"/>
  <c r="B155" i="63" s="1"/>
  <c r="B156" i="63" s="1"/>
  <c r="B157" i="63" s="1"/>
  <c r="B158" i="63" s="1"/>
  <c r="B159" i="63" s="1"/>
  <c r="B160" i="63" s="1"/>
  <c r="B161" i="63" s="1"/>
  <c r="B162" i="63" s="1"/>
  <c r="B163" i="63" s="1"/>
  <c r="B101" i="63"/>
  <c r="B102" i="63" s="1"/>
  <c r="B103" i="63" s="1"/>
  <c r="B104" i="63" s="1"/>
  <c r="B105" i="63" s="1"/>
  <c r="B106" i="63" s="1"/>
  <c r="B107" i="63" s="1"/>
  <c r="B108" i="63" s="1"/>
  <c r="B109" i="63" s="1"/>
  <c r="B110" i="63" s="1"/>
  <c r="B111" i="63" s="1"/>
  <c r="B112" i="63" s="1"/>
  <c r="B113" i="63" s="1"/>
  <c r="B114" i="63" s="1"/>
  <c r="B115" i="63" s="1"/>
  <c r="B116" i="63" s="1"/>
  <c r="B117" i="63" s="1"/>
  <c r="B118" i="63" s="1"/>
  <c r="B119" i="63" s="1"/>
  <c r="B120" i="63" s="1"/>
  <c r="B121" i="63" s="1"/>
  <c r="B122" i="63" s="1"/>
  <c r="B123" i="63" s="1"/>
  <c r="B124" i="63" s="1"/>
  <c r="B125" i="63" s="1"/>
  <c r="B126" i="63" s="1"/>
  <c r="B127" i="63" s="1"/>
  <c r="B128" i="63" s="1"/>
  <c r="B129" i="63" s="1"/>
  <c r="B130" i="63" s="1"/>
  <c r="B131" i="63" s="1"/>
  <c r="A101" i="63"/>
  <c r="A102" i="63" s="1"/>
  <c r="C100" i="63"/>
  <c r="C134" i="63"/>
  <c r="A103" i="63" l="1"/>
  <c r="A164" i="63"/>
  <c r="A196" i="63" s="1"/>
  <c r="BA114" i="34"/>
  <c r="D134" i="63"/>
  <c r="D100" i="63"/>
  <c r="A135" i="63"/>
  <c r="C135" i="63"/>
  <c r="C133" i="63"/>
  <c r="C101" i="63"/>
  <c r="C132" i="63"/>
  <c r="C102" i="63"/>
  <c r="D132" i="63" l="1"/>
  <c r="D133" i="63"/>
  <c r="D101" i="63"/>
  <c r="D102" i="63"/>
  <c r="A197" i="63"/>
  <c r="A165" i="63"/>
  <c r="A104" i="63"/>
  <c r="BA115" i="34"/>
  <c r="D135" i="63"/>
  <c r="A228" i="63"/>
  <c r="A260" i="63" s="1"/>
  <c r="A136" i="63"/>
  <c r="C103" i="63"/>
  <c r="C164" i="63"/>
  <c r="C260" i="63"/>
  <c r="C136" i="63"/>
  <c r="C196" i="63"/>
  <c r="D164" i="63" l="1"/>
  <c r="D196" i="63"/>
  <c r="D103" i="63"/>
  <c r="A166" i="63"/>
  <c r="A198" i="63"/>
  <c r="A229" i="63"/>
  <c r="A105" i="63"/>
  <c r="BA116" i="34"/>
  <c r="AB76" i="34"/>
  <c r="AB88" i="34" s="1"/>
  <c r="AB75" i="34"/>
  <c r="AB87" i="34" s="1"/>
  <c r="D136" i="63"/>
  <c r="D260" i="63"/>
  <c r="A261" i="63"/>
  <c r="A292" i="63"/>
  <c r="A230" i="63"/>
  <c r="A137" i="63"/>
  <c r="C292" i="63"/>
  <c r="C165" i="63"/>
  <c r="C228" i="63"/>
  <c r="C229" i="63"/>
  <c r="C197" i="63"/>
  <c r="C261" i="63"/>
  <c r="C137" i="63"/>
  <c r="C104" i="63"/>
  <c r="D104" i="63" l="1"/>
  <c r="D228" i="63"/>
  <c r="D197" i="63"/>
  <c r="D165" i="63"/>
  <c r="A106" i="63"/>
  <c r="A199" i="63"/>
  <c r="A167" i="63"/>
  <c r="BA117" i="34"/>
  <c r="AB77" i="34"/>
  <c r="AB89" i="34" s="1"/>
  <c r="D137" i="63"/>
  <c r="D292" i="63"/>
  <c r="D261" i="63"/>
  <c r="A324" i="63"/>
  <c r="A293" i="63"/>
  <c r="A262" i="63"/>
  <c r="D229" i="63"/>
  <c r="A231" i="63"/>
  <c r="A138" i="63"/>
  <c r="C262" i="63"/>
  <c r="C230" i="63"/>
  <c r="C198" i="63"/>
  <c r="C324" i="63"/>
  <c r="C293" i="63"/>
  <c r="C138" i="63"/>
  <c r="C166" i="63"/>
  <c r="C105" i="63"/>
  <c r="D105" i="63" l="1"/>
  <c r="D166" i="63"/>
  <c r="D198" i="63"/>
  <c r="A168" i="63"/>
  <c r="A107" i="63"/>
  <c r="A200" i="63"/>
  <c r="BA118" i="34"/>
  <c r="AB78" i="34"/>
  <c r="AB90" i="34" s="1"/>
  <c r="D138" i="63"/>
  <c r="D262" i="63"/>
  <c r="D293" i="63"/>
  <c r="D324" i="63"/>
  <c r="A263" i="63"/>
  <c r="A294" i="63"/>
  <c r="A325" i="63"/>
  <c r="A356" i="63"/>
  <c r="D230" i="63"/>
  <c r="A232" i="63"/>
  <c r="A139" i="63"/>
  <c r="C139" i="63"/>
  <c r="C263" i="63"/>
  <c r="C199" i="63"/>
  <c r="C231" i="63"/>
  <c r="C325" i="63"/>
  <c r="C294" i="63"/>
  <c r="C356" i="63"/>
  <c r="C167" i="63"/>
  <c r="C106" i="63"/>
  <c r="D199" i="63" l="1"/>
  <c r="D167" i="63"/>
  <c r="D106" i="63"/>
  <c r="A169" i="63"/>
  <c r="A201" i="63"/>
  <c r="A108" i="63"/>
  <c r="BA119" i="34"/>
  <c r="AB79" i="34"/>
  <c r="AB91" i="34" s="1"/>
  <c r="D294" i="63"/>
  <c r="D325" i="63"/>
  <c r="D263" i="63"/>
  <c r="D139" i="63"/>
  <c r="D356" i="63"/>
  <c r="A295" i="63"/>
  <c r="A326" i="63"/>
  <c r="A264" i="63"/>
  <c r="A357" i="63"/>
  <c r="A388" i="63"/>
  <c r="D231" i="63"/>
  <c r="A233" i="63"/>
  <c r="A140" i="63"/>
  <c r="W54" i="38"/>
  <c r="W53" i="38"/>
  <c r="W52" i="38"/>
  <c r="W51" i="38"/>
  <c r="W49" i="38"/>
  <c r="W48" i="38"/>
  <c r="W47" i="38"/>
  <c r="W46" i="38"/>
  <c r="W44" i="38"/>
  <c r="W43" i="38"/>
  <c r="W42" i="38"/>
  <c r="W41" i="38"/>
  <c r="W39" i="38"/>
  <c r="W38" i="38"/>
  <c r="W37" i="38"/>
  <c r="W36" i="38"/>
  <c r="W34" i="38"/>
  <c r="W33" i="38"/>
  <c r="W32" i="38"/>
  <c r="W31" i="38"/>
  <c r="W29" i="38"/>
  <c r="W28" i="38"/>
  <c r="W27" i="38"/>
  <c r="W26" i="38"/>
  <c r="W24" i="38"/>
  <c r="W23" i="38"/>
  <c r="W22" i="38"/>
  <c r="W21" i="38"/>
  <c r="W19" i="38"/>
  <c r="W18" i="38"/>
  <c r="W17" i="38"/>
  <c r="W16" i="38"/>
  <c r="C140" i="63"/>
  <c r="C388" i="63"/>
  <c r="C168" i="63"/>
  <c r="C295" i="63"/>
  <c r="C107" i="63"/>
  <c r="C357" i="63"/>
  <c r="C264" i="63"/>
  <c r="C326" i="63"/>
  <c r="C232" i="63"/>
  <c r="C200" i="63"/>
  <c r="D200" i="63" l="1"/>
  <c r="D168" i="63"/>
  <c r="D107" i="63"/>
  <c r="A109" i="63"/>
  <c r="A202" i="63"/>
  <c r="A170" i="63"/>
  <c r="BA120" i="34"/>
  <c r="AB80" i="34"/>
  <c r="AB92" i="34" s="1"/>
  <c r="D295" i="63"/>
  <c r="D140" i="63"/>
  <c r="D388" i="63"/>
  <c r="D326" i="63"/>
  <c r="D357" i="63"/>
  <c r="D264" i="63"/>
  <c r="A296" i="63"/>
  <c r="A389" i="63"/>
  <c r="A327" i="63"/>
  <c r="A358" i="63"/>
  <c r="A265" i="63"/>
  <c r="D232" i="63"/>
  <c r="A234" i="63"/>
  <c r="A141" i="63"/>
  <c r="AN51" i="39"/>
  <c r="C233" i="63"/>
  <c r="C296" i="63"/>
  <c r="C169" i="63"/>
  <c r="C327" i="63"/>
  <c r="C358" i="63"/>
  <c r="C108" i="63"/>
  <c r="C265" i="63"/>
  <c r="C389" i="63"/>
  <c r="C141" i="63"/>
  <c r="C201" i="63"/>
  <c r="D108" i="63" l="1"/>
  <c r="D169" i="63"/>
  <c r="D201" i="63"/>
  <c r="A110" i="63"/>
  <c r="A171" i="63"/>
  <c r="A203" i="63"/>
  <c r="BA121" i="34"/>
  <c r="AB81" i="34"/>
  <c r="AB93" i="34" s="1"/>
  <c r="D327" i="63"/>
  <c r="D389" i="63"/>
  <c r="D296" i="63"/>
  <c r="D141" i="63"/>
  <c r="D265" i="63"/>
  <c r="D358" i="63"/>
  <c r="A328" i="63"/>
  <c r="A390" i="63"/>
  <c r="A297" i="63"/>
  <c r="A266" i="63"/>
  <c r="A359" i="63"/>
  <c r="D233" i="63"/>
  <c r="A235" i="63"/>
  <c r="A142" i="63"/>
  <c r="AO21" i="39"/>
  <c r="C170" i="63"/>
  <c r="C359" i="63"/>
  <c r="C297" i="63"/>
  <c r="C142" i="63"/>
  <c r="C109" i="63"/>
  <c r="C202" i="63"/>
  <c r="C234" i="63"/>
  <c r="C266" i="63"/>
  <c r="C390" i="63"/>
  <c r="C328" i="63"/>
  <c r="D109" i="63" l="1"/>
  <c r="D170" i="63"/>
  <c r="D202" i="63"/>
  <c r="A111" i="63"/>
  <c r="A204" i="63"/>
  <c r="AB96" i="34"/>
  <c r="A172" i="63"/>
  <c r="BA122" i="34"/>
  <c r="D297" i="63"/>
  <c r="D390" i="63"/>
  <c r="D328" i="63"/>
  <c r="D142" i="63"/>
  <c r="D359" i="63"/>
  <c r="D266" i="63"/>
  <c r="A298" i="63"/>
  <c r="A391" i="63"/>
  <c r="A329" i="63"/>
  <c r="A360" i="63"/>
  <c r="A267" i="63"/>
  <c r="D234" i="63"/>
  <c r="A236" i="63"/>
  <c r="A143" i="63"/>
  <c r="C329" i="63"/>
  <c r="C360" i="63"/>
  <c r="C267" i="63"/>
  <c r="C391" i="63"/>
  <c r="C143" i="63"/>
  <c r="C203" i="63"/>
  <c r="C110" i="63"/>
  <c r="C235" i="63"/>
  <c r="C298" i="63"/>
  <c r="C171" i="63"/>
  <c r="D203" i="63" l="1"/>
  <c r="D110" i="63"/>
  <c r="D171" i="63"/>
  <c r="AM21" i="39"/>
  <c r="A205" i="63"/>
  <c r="AL13" i="39"/>
  <c r="AO14" i="39"/>
  <c r="A173" i="63"/>
  <c r="A112" i="63"/>
  <c r="BA123" i="34"/>
  <c r="D143" i="63"/>
  <c r="D267" i="63"/>
  <c r="D360" i="63"/>
  <c r="D298" i="63"/>
  <c r="D329" i="63"/>
  <c r="D391" i="63"/>
  <c r="A268" i="63"/>
  <c r="A361" i="63"/>
  <c r="A299" i="63"/>
  <c r="A330" i="63"/>
  <c r="A392" i="63"/>
  <c r="D235" i="63"/>
  <c r="A237" i="63"/>
  <c r="A144" i="63"/>
  <c r="C299" i="63"/>
  <c r="C144" i="63"/>
  <c r="C361" i="63"/>
  <c r="C268" i="63"/>
  <c r="C236" i="63"/>
  <c r="C392" i="63"/>
  <c r="C172" i="63"/>
  <c r="C204" i="63"/>
  <c r="C330" i="63"/>
  <c r="C111" i="63"/>
  <c r="D204" i="63" l="1"/>
  <c r="D111" i="63"/>
  <c r="D172" i="63"/>
  <c r="A113" i="63"/>
  <c r="A174" i="63"/>
  <c r="A206" i="63"/>
  <c r="BA124" i="34"/>
  <c r="D268" i="63"/>
  <c r="D361" i="63"/>
  <c r="D299" i="63"/>
  <c r="D144" i="63"/>
  <c r="D392" i="63"/>
  <c r="D330" i="63"/>
  <c r="A269" i="63"/>
  <c r="A362" i="63"/>
  <c r="A300" i="63"/>
  <c r="A393" i="63"/>
  <c r="A331" i="63"/>
  <c r="D236" i="63"/>
  <c r="A238" i="63"/>
  <c r="A145" i="63"/>
  <c r="P72" i="25"/>
  <c r="C145" i="63"/>
  <c r="C205" i="63"/>
  <c r="C269" i="63"/>
  <c r="C362" i="63"/>
  <c r="C173" i="63"/>
  <c r="C393" i="63"/>
  <c r="C237" i="63"/>
  <c r="C300" i="63"/>
  <c r="C331" i="63"/>
  <c r="C112" i="63"/>
  <c r="D205" i="63" l="1"/>
  <c r="D173" i="63"/>
  <c r="D112" i="63"/>
  <c r="A175" i="63"/>
  <c r="A114" i="63"/>
  <c r="A207" i="63"/>
  <c r="BA125" i="34"/>
  <c r="D362" i="63"/>
  <c r="D393" i="63"/>
  <c r="D269" i="63"/>
  <c r="D145" i="63"/>
  <c r="D331" i="63"/>
  <c r="D300" i="63"/>
  <c r="A363" i="63"/>
  <c r="A394" i="63"/>
  <c r="A270" i="63"/>
  <c r="A332" i="63"/>
  <c r="A301" i="63"/>
  <c r="D237" i="63"/>
  <c r="A239" i="63"/>
  <c r="A146" i="63"/>
  <c r="C206" i="63"/>
  <c r="C146" i="63"/>
  <c r="C363" i="63"/>
  <c r="C238" i="63"/>
  <c r="C270" i="63"/>
  <c r="C113" i="63"/>
  <c r="C301" i="63"/>
  <c r="C332" i="63"/>
  <c r="C394" i="63"/>
  <c r="C174" i="63"/>
  <c r="D206" i="63" l="1"/>
  <c r="D113" i="63"/>
  <c r="D174" i="63"/>
  <c r="A115" i="63"/>
  <c r="A176" i="63"/>
  <c r="A208" i="63"/>
  <c r="BA126" i="34"/>
  <c r="D363" i="63"/>
  <c r="D146" i="63"/>
  <c r="D301" i="63"/>
  <c r="D332" i="63"/>
  <c r="D270" i="63"/>
  <c r="D394" i="63"/>
  <c r="A364" i="63"/>
  <c r="A302" i="63"/>
  <c r="A333" i="63"/>
  <c r="A271" i="63"/>
  <c r="A395" i="63"/>
  <c r="D238" i="63"/>
  <c r="A240" i="63"/>
  <c r="A147" i="63"/>
  <c r="A7" i="63"/>
  <c r="C271" i="63"/>
  <c r="C147" i="63"/>
  <c r="C239" i="63"/>
  <c r="C114" i="63"/>
  <c r="C333" i="63"/>
  <c r="C395" i="63"/>
  <c r="C175" i="63"/>
  <c r="C364" i="63"/>
  <c r="C207" i="63"/>
  <c r="C302" i="63"/>
  <c r="D207" i="63" l="1"/>
  <c r="D175" i="63"/>
  <c r="D114" i="63"/>
  <c r="A177" i="63"/>
  <c r="A116" i="63"/>
  <c r="A209" i="63"/>
  <c r="BA127" i="34"/>
  <c r="D364" i="63"/>
  <c r="D395" i="63"/>
  <c r="D147" i="63"/>
  <c r="D271" i="63"/>
  <c r="D333" i="63"/>
  <c r="D302" i="63"/>
  <c r="A365" i="63"/>
  <c r="A396" i="63"/>
  <c r="A272" i="63"/>
  <c r="A334" i="63"/>
  <c r="A303" i="63"/>
  <c r="D239" i="63"/>
  <c r="A241" i="63"/>
  <c r="A148" i="63"/>
  <c r="A8" i="63"/>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C148" i="63"/>
  <c r="C334" i="63"/>
  <c r="C303" i="63"/>
  <c r="C115" i="63"/>
  <c r="C272" i="63"/>
  <c r="C176" i="63"/>
  <c r="C365" i="63"/>
  <c r="C396" i="63"/>
  <c r="C208" i="63"/>
  <c r="C240" i="63"/>
  <c r="D115" i="63" l="1"/>
  <c r="D176" i="63"/>
  <c r="D208" i="63"/>
  <c r="A210" i="63"/>
  <c r="A117" i="63"/>
  <c r="A178" i="63"/>
  <c r="BA128" i="34"/>
  <c r="D334" i="63"/>
  <c r="D148" i="63"/>
  <c r="D303" i="63"/>
  <c r="D272" i="63"/>
  <c r="D365" i="63"/>
  <c r="D396" i="63"/>
  <c r="A335" i="63"/>
  <c r="A304" i="63"/>
  <c r="A273" i="63"/>
  <c r="A366" i="63"/>
  <c r="A397" i="63"/>
  <c r="D240" i="63"/>
  <c r="A242" i="63"/>
  <c r="A149" i="63"/>
  <c r="C335" i="63"/>
  <c r="C366" i="63"/>
  <c r="C149" i="63"/>
  <c r="C273" i="63"/>
  <c r="C304" i="63"/>
  <c r="C397" i="63"/>
  <c r="C241" i="63"/>
  <c r="C209" i="63"/>
  <c r="C177" i="63"/>
  <c r="C116" i="63"/>
  <c r="D177" i="63" l="1"/>
  <c r="D116" i="63"/>
  <c r="D209" i="63"/>
  <c r="A118" i="63"/>
  <c r="A211" i="63"/>
  <c r="A179" i="63"/>
  <c r="BA129" i="34"/>
  <c r="D335" i="63"/>
  <c r="D304" i="63"/>
  <c r="D149" i="63"/>
  <c r="D366" i="63"/>
  <c r="D397" i="63"/>
  <c r="D273" i="63"/>
  <c r="A336" i="63"/>
  <c r="A305" i="63"/>
  <c r="A367" i="63"/>
  <c r="A398" i="63"/>
  <c r="A274" i="63"/>
  <c r="D241" i="63"/>
  <c r="A243" i="63"/>
  <c r="A150" i="63"/>
  <c r="A50" i="34"/>
  <c r="A31" i="34"/>
  <c r="A51" i="34" s="1"/>
  <c r="A61" i="39"/>
  <c r="A54" i="39"/>
  <c r="A62" i="39" s="1"/>
  <c r="C242" i="63"/>
  <c r="C398" i="63"/>
  <c r="C150" i="63"/>
  <c r="C274" i="63"/>
  <c r="C210" i="63"/>
  <c r="C367" i="63"/>
  <c r="C117" i="63"/>
  <c r="C336" i="63"/>
  <c r="C305" i="63"/>
  <c r="C178" i="63"/>
  <c r="D56" i="34" l="1"/>
  <c r="D52" i="34"/>
  <c r="D178" i="63"/>
  <c r="D210" i="63"/>
  <c r="D117" i="63"/>
  <c r="A212" i="63"/>
  <c r="A119" i="63"/>
  <c r="A180" i="63"/>
  <c r="AO64" i="34"/>
  <c r="BA130" i="34"/>
  <c r="D336" i="63"/>
  <c r="D274" i="63"/>
  <c r="D398" i="63"/>
  <c r="D305" i="63"/>
  <c r="D150" i="63"/>
  <c r="D367" i="63"/>
  <c r="A337" i="63"/>
  <c r="A275" i="63"/>
  <c r="A399" i="63"/>
  <c r="A306" i="63"/>
  <c r="A368" i="63"/>
  <c r="D242" i="63"/>
  <c r="A244" i="63"/>
  <c r="A151" i="63"/>
  <c r="A32" i="34"/>
  <c r="A55" i="39"/>
  <c r="A46" i="38"/>
  <c r="A55" i="38"/>
  <c r="Z52" i="38"/>
  <c r="Y52" i="38"/>
  <c r="Z50" i="38"/>
  <c r="Y50" i="38"/>
  <c r="Z48" i="38"/>
  <c r="Y48" i="38"/>
  <c r="Z46" i="38"/>
  <c r="Y46" i="38"/>
  <c r="Z42" i="38"/>
  <c r="Y42" i="38"/>
  <c r="Z40" i="38"/>
  <c r="Y40" i="38"/>
  <c r="Z38" i="38"/>
  <c r="Y38" i="38"/>
  <c r="Z36" i="38"/>
  <c r="Y36" i="38"/>
  <c r="Z32" i="38"/>
  <c r="Y32" i="38"/>
  <c r="Z30" i="38"/>
  <c r="Y30" i="38"/>
  <c r="Z28" i="38"/>
  <c r="Y28" i="38"/>
  <c r="Z26" i="38"/>
  <c r="Y26" i="38"/>
  <c r="Z16" i="38"/>
  <c r="Y16" i="38"/>
  <c r="C306" i="63"/>
  <c r="C275" i="63"/>
  <c r="C368" i="63"/>
  <c r="C211" i="63"/>
  <c r="C179" i="63"/>
  <c r="C399" i="63"/>
  <c r="C151" i="63"/>
  <c r="C337" i="63"/>
  <c r="C118" i="63"/>
  <c r="C243" i="63"/>
  <c r="D211" i="63" l="1"/>
  <c r="D179" i="63"/>
  <c r="D118" i="63"/>
  <c r="A181" i="63"/>
  <c r="A56" i="38"/>
  <c r="Y47" i="38"/>
  <c r="F46" i="38" s="1"/>
  <c r="Z47" i="38"/>
  <c r="M46" i="38" s="1"/>
  <c r="A120" i="63"/>
  <c r="A213" i="63"/>
  <c r="A56" i="39"/>
  <c r="A64" i="39" s="1"/>
  <c r="Y55" i="39"/>
  <c r="AB55" i="39"/>
  <c r="AC55" i="39"/>
  <c r="Z55" i="39"/>
  <c r="Y33" i="38"/>
  <c r="F32" i="38" s="1"/>
  <c r="Y43" i="38"/>
  <c r="F42" i="38" s="1"/>
  <c r="Z33" i="38"/>
  <c r="M32" i="38" s="1"/>
  <c r="BA131" i="34"/>
  <c r="BA132" i="34" s="1"/>
  <c r="BA133" i="34" s="1"/>
  <c r="BA134" i="34" s="1"/>
  <c r="BA135" i="34" s="1"/>
  <c r="BA136" i="34" s="1"/>
  <c r="BA137" i="34" s="1"/>
  <c r="BA138" i="34" s="1"/>
  <c r="BA139" i="34" s="1"/>
  <c r="Y41" i="38"/>
  <c r="F40" i="38" s="1"/>
  <c r="Y39" i="38"/>
  <c r="F38" i="38" s="1"/>
  <c r="Y37" i="38"/>
  <c r="F36" i="38" s="1"/>
  <c r="Y31" i="38"/>
  <c r="F30" i="38" s="1"/>
  <c r="Y29" i="38"/>
  <c r="F28" i="38" s="1"/>
  <c r="Y27" i="38"/>
  <c r="F26" i="38" s="1"/>
  <c r="D337" i="63"/>
  <c r="D368" i="63"/>
  <c r="D151" i="63"/>
  <c r="D306" i="63"/>
  <c r="D399" i="63"/>
  <c r="D275" i="63"/>
  <c r="A338" i="63"/>
  <c r="A369" i="63"/>
  <c r="A307" i="63"/>
  <c r="A400" i="63"/>
  <c r="A276" i="63"/>
  <c r="D243" i="63"/>
  <c r="A245" i="63"/>
  <c r="A152" i="63"/>
  <c r="Y18" i="38"/>
  <c r="Y20" i="38"/>
  <c r="Z18" i="38"/>
  <c r="Y22" i="38"/>
  <c r="Z20" i="38"/>
  <c r="Z22" i="38"/>
  <c r="A52" i="34"/>
  <c r="A33" i="34"/>
  <c r="A53" i="34" s="1"/>
  <c r="A63" i="39"/>
  <c r="A47" i="38"/>
  <c r="A48" i="38" s="1"/>
  <c r="Z37" i="38"/>
  <c r="M36" i="38" s="1"/>
  <c r="Z39" i="38"/>
  <c r="Z43" i="38"/>
  <c r="M42" i="38" s="1"/>
  <c r="Z41" i="38"/>
  <c r="M40" i="38" s="1"/>
  <c r="Z31" i="38"/>
  <c r="M30" i="38" s="1"/>
  <c r="Z29" i="38"/>
  <c r="Z27" i="38"/>
  <c r="M26" i="38" s="1"/>
  <c r="C307" i="63"/>
  <c r="C400" i="63"/>
  <c r="C212" i="63"/>
  <c r="C276" i="63"/>
  <c r="C244" i="63"/>
  <c r="C338" i="63"/>
  <c r="C119" i="63"/>
  <c r="C369" i="63"/>
  <c r="C180" i="63"/>
  <c r="C152" i="63"/>
  <c r="AE55" i="39" l="1"/>
  <c r="D212" i="63"/>
  <c r="D180" i="63"/>
  <c r="D119" i="63"/>
  <c r="A214" i="63"/>
  <c r="AN52" i="34"/>
  <c r="AM52" i="34"/>
  <c r="A182" i="63"/>
  <c r="A49" i="38"/>
  <c r="A50" i="38" s="1"/>
  <c r="Y49" i="38"/>
  <c r="F48" i="38" s="1"/>
  <c r="Z49" i="38"/>
  <c r="M48" i="38" s="1"/>
  <c r="A57" i="39"/>
  <c r="AC56" i="39"/>
  <c r="AB56" i="39"/>
  <c r="Z56" i="39"/>
  <c r="Y56" i="39"/>
  <c r="A121" i="63"/>
  <c r="M38" i="38"/>
  <c r="M28" i="38"/>
  <c r="D338" i="63"/>
  <c r="D307" i="63"/>
  <c r="D152" i="63"/>
  <c r="D276" i="63"/>
  <c r="D400" i="63"/>
  <c r="D369" i="63"/>
  <c r="A339" i="63"/>
  <c r="A308" i="63"/>
  <c r="A277" i="63"/>
  <c r="A401" i="63"/>
  <c r="A370" i="63"/>
  <c r="D244" i="63"/>
  <c r="A246" i="63"/>
  <c r="A153" i="63"/>
  <c r="A57" i="38"/>
  <c r="D43" i="62"/>
  <c r="D42" i="62"/>
  <c r="C43" i="62"/>
  <c r="C42" i="62"/>
  <c r="C213" i="63"/>
  <c r="C153" i="63"/>
  <c r="C308" i="63"/>
  <c r="C120" i="63"/>
  <c r="C277" i="63"/>
  <c r="C370" i="63"/>
  <c r="C339" i="63"/>
  <c r="C245" i="63"/>
  <c r="C181" i="63"/>
  <c r="C401" i="63"/>
  <c r="AB52" i="34" l="1"/>
  <c r="AE56" i="39"/>
  <c r="D120" i="63"/>
  <c r="D213" i="63"/>
  <c r="D181" i="63"/>
  <c r="A51" i="38"/>
  <c r="A52" i="38" s="1"/>
  <c r="Y51" i="38"/>
  <c r="F50" i="38" s="1"/>
  <c r="Z51" i="38"/>
  <c r="M50" i="38" s="1"/>
  <c r="AB57" i="39"/>
  <c r="Z57" i="39"/>
  <c r="Y57" i="39"/>
  <c r="AC57" i="39"/>
  <c r="A58" i="39"/>
  <c r="A65" i="39"/>
  <c r="A215" i="63"/>
  <c r="A122" i="63"/>
  <c r="A183" i="63"/>
  <c r="D339" i="63"/>
  <c r="D370" i="63"/>
  <c r="D308" i="63"/>
  <c r="D401" i="63"/>
  <c r="D153" i="63"/>
  <c r="D277" i="63"/>
  <c r="A340" i="63"/>
  <c r="A371" i="63"/>
  <c r="A309" i="63"/>
  <c r="A402" i="63"/>
  <c r="A278" i="63"/>
  <c r="D245" i="63"/>
  <c r="A247" i="63"/>
  <c r="A154" i="63"/>
  <c r="A58" i="38"/>
  <c r="A59" i="38"/>
  <c r="A7" i="62"/>
  <c r="A8" i="62" s="1"/>
  <c r="A9" i="62" s="1"/>
  <c r="A10" i="62" s="1"/>
  <c r="A11" i="62" s="1"/>
  <c r="A12" i="62" s="1"/>
  <c r="A13" i="62" s="1"/>
  <c r="A14" i="62" s="1"/>
  <c r="A15" i="62" s="1"/>
  <c r="A16" i="62" s="1"/>
  <c r="C278" i="63"/>
  <c r="C154" i="63"/>
  <c r="C121" i="63"/>
  <c r="C182" i="63"/>
  <c r="C214" i="63"/>
  <c r="C402" i="63"/>
  <c r="C309" i="63"/>
  <c r="C246" i="63"/>
  <c r="C340" i="63"/>
  <c r="C371" i="63"/>
  <c r="AE57" i="39" l="1"/>
  <c r="D214" i="63"/>
  <c r="D182" i="63"/>
  <c r="D121" i="63"/>
  <c r="A216" i="63"/>
  <c r="A184" i="63"/>
  <c r="A53" i="38"/>
  <c r="A54" i="38" s="1"/>
  <c r="Y53" i="38"/>
  <c r="F52" i="38" s="1"/>
  <c r="Z53" i="38"/>
  <c r="M52" i="38" s="1"/>
  <c r="Y58" i="39"/>
  <c r="AC58" i="39"/>
  <c r="Z58" i="39"/>
  <c r="AB58" i="39"/>
  <c r="A59" i="39"/>
  <c r="A66" i="39"/>
  <c r="A123" i="63"/>
  <c r="A17" i="62"/>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D340" i="63"/>
  <c r="D154" i="63"/>
  <c r="D371" i="63"/>
  <c r="D402" i="63"/>
  <c r="D278" i="63"/>
  <c r="D309" i="63"/>
  <c r="A341" i="63"/>
  <c r="A372" i="63"/>
  <c r="A403" i="63"/>
  <c r="A279" i="63"/>
  <c r="A310" i="63"/>
  <c r="D246" i="63"/>
  <c r="A248" i="63"/>
  <c r="A155" i="63"/>
  <c r="A60" i="38"/>
  <c r="C122" i="63"/>
  <c r="C215" i="63"/>
  <c r="C183" i="63"/>
  <c r="C247" i="63"/>
  <c r="C403" i="63"/>
  <c r="C341" i="63"/>
  <c r="C279" i="63"/>
  <c r="C155" i="63"/>
  <c r="C372" i="63"/>
  <c r="C310" i="63"/>
  <c r="AE58" i="39" l="1"/>
  <c r="D183" i="63"/>
  <c r="D122" i="63"/>
  <c r="D215" i="63"/>
  <c r="AC59" i="39"/>
  <c r="AB59" i="39"/>
  <c r="Z59" i="39"/>
  <c r="Y59" i="39"/>
  <c r="A60" i="39"/>
  <c r="A67" i="39"/>
  <c r="A185" i="63"/>
  <c r="A217" i="63"/>
  <c r="A124" i="63"/>
  <c r="A39" i="62"/>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A86" i="62" s="1"/>
  <c r="A87" i="62" s="1"/>
  <c r="A88" i="62" s="1"/>
  <c r="A89" i="62" s="1"/>
  <c r="A90" i="62" s="1"/>
  <c r="A91" i="62" s="1"/>
  <c r="A92" i="62" s="1"/>
  <c r="A93" i="62" s="1"/>
  <c r="A94" i="62" s="1"/>
  <c r="A95" i="62" s="1"/>
  <c r="A96" i="62" s="1"/>
  <c r="A97" i="62" s="1"/>
  <c r="A98" i="62" s="1"/>
  <c r="A99" i="62" s="1"/>
  <c r="A100" i="62" s="1"/>
  <c r="A101" i="62" s="1"/>
  <c r="A102" i="62" s="1"/>
  <c r="A103" i="62" s="1"/>
  <c r="A104" i="62" s="1"/>
  <c r="A105" i="62" s="1"/>
  <c r="A106" i="62" s="1"/>
  <c r="A107" i="62" s="1"/>
  <c r="A108" i="62" s="1"/>
  <c r="A109" i="62" s="1"/>
  <c r="A110" i="62" s="1"/>
  <c r="A111" i="62" s="1"/>
  <c r="A112" i="62" s="1"/>
  <c r="A113" i="62" s="1"/>
  <c r="A114" i="62" s="1"/>
  <c r="A115" i="62" s="1"/>
  <c r="A116" i="62" s="1"/>
  <c r="A117" i="62" s="1"/>
  <c r="A118" i="62" s="1"/>
  <c r="A119" i="62" s="1"/>
  <c r="A120" i="62" s="1"/>
  <c r="A121" i="62" s="1"/>
  <c r="A122" i="62" s="1"/>
  <c r="A123" i="62" s="1"/>
  <c r="A124" i="62" s="1"/>
  <c r="A125" i="62" s="1"/>
  <c r="A126" i="62" s="1"/>
  <c r="A127" i="62" s="1"/>
  <c r="A128" i="62" s="1"/>
  <c r="A129" i="62" s="1"/>
  <c r="A130" i="62" s="1"/>
  <c r="A131" i="62" s="1"/>
  <c r="A132" i="62" s="1"/>
  <c r="A133" i="62" s="1"/>
  <c r="A134" i="62" s="1"/>
  <c r="A135" i="62" s="1"/>
  <c r="A136" i="62" s="1"/>
  <c r="A137" i="62" s="1"/>
  <c r="A138" i="62" s="1"/>
  <c r="A139" i="62" s="1"/>
  <c r="A140" i="62" s="1"/>
  <c r="A141" i="62" s="1"/>
  <c r="A142" i="62" s="1"/>
  <c r="A143" i="62" s="1"/>
  <c r="A144" i="62" s="1"/>
  <c r="A145" i="62" s="1"/>
  <c r="A146" i="62" s="1"/>
  <c r="A147" i="62" s="1"/>
  <c r="A148" i="62" s="1"/>
  <c r="D372" i="63"/>
  <c r="D341" i="63"/>
  <c r="D310" i="63"/>
  <c r="D279" i="63"/>
  <c r="D155" i="63"/>
  <c r="D403" i="63"/>
  <c r="A373" i="63"/>
  <c r="A342" i="63"/>
  <c r="A311" i="63"/>
  <c r="A280" i="63"/>
  <c r="A404" i="63"/>
  <c r="D247" i="63"/>
  <c r="A249" i="63"/>
  <c r="A156" i="63"/>
  <c r="A61" i="38"/>
  <c r="C123" i="63"/>
  <c r="C280" i="63"/>
  <c r="C342" i="63"/>
  <c r="C156" i="63"/>
  <c r="C311" i="63"/>
  <c r="C216" i="63"/>
  <c r="C404" i="63"/>
  <c r="C373" i="63"/>
  <c r="C248" i="63"/>
  <c r="C184" i="63"/>
  <c r="AE59" i="39" l="1"/>
  <c r="A149" i="62"/>
  <c r="A150" i="62" s="1"/>
  <c r="A151" i="62" s="1"/>
  <c r="A152" i="62" s="1"/>
  <c r="A153" i="62" s="1"/>
  <c r="A154" i="62" s="1"/>
  <c r="A155" i="62" s="1"/>
  <c r="A156" i="62" s="1"/>
  <c r="A157" i="62" s="1"/>
  <c r="A158" i="62" s="1"/>
  <c r="A159" i="62" s="1"/>
  <c r="A160" i="62" s="1"/>
  <c r="A161" i="62" s="1"/>
  <c r="A162" i="62" s="1"/>
  <c r="A163" i="62" s="1"/>
  <c r="A164" i="62" s="1"/>
  <c r="A165" i="62" s="1"/>
  <c r="A166" i="62" s="1"/>
  <c r="A167" i="62" s="1"/>
  <c r="A168" i="62" s="1"/>
  <c r="A169" i="62" s="1"/>
  <c r="A170" i="62" s="1"/>
  <c r="A171" i="62" s="1"/>
  <c r="A172" i="62" s="1"/>
  <c r="A173" i="62" s="1"/>
  <c r="A174" i="62" s="1"/>
  <c r="A175" i="62" s="1"/>
  <c r="A176" i="62" s="1"/>
  <c r="A177" i="62" s="1"/>
  <c r="A178" i="62" s="1"/>
  <c r="A179" i="62" s="1"/>
  <c r="A180" i="62" s="1"/>
  <c r="A181" i="62" s="1"/>
  <c r="A182" i="62" s="1"/>
  <c r="A183" i="62" s="1"/>
  <c r="A184" i="62" s="1"/>
  <c r="A185" i="62" s="1"/>
  <c r="A186" i="62" s="1"/>
  <c r="A187" i="62" s="1"/>
  <c r="A188" i="62" s="1"/>
  <c r="A189" i="62" s="1"/>
  <c r="A190" i="62" s="1"/>
  <c r="A191" i="62" s="1"/>
  <c r="A192" i="62" s="1"/>
  <c r="A193" i="62" s="1"/>
  <c r="A194" i="62" s="1"/>
  <c r="A195" i="62" s="1"/>
  <c r="A196" i="62" s="1"/>
  <c r="A197" i="62" s="1"/>
  <c r="A198" i="62" s="1"/>
  <c r="A199" i="62" s="1"/>
  <c r="A200" i="62" s="1"/>
  <c r="A201" i="62" s="1"/>
  <c r="A202" i="62" s="1"/>
  <c r="A203" i="62" s="1"/>
  <c r="A204" i="62" s="1"/>
  <c r="A205" i="62" s="1"/>
  <c r="A206" i="62" s="1"/>
  <c r="A207" i="62" s="1"/>
  <c r="A208" i="62" s="1"/>
  <c r="A209" i="62" s="1"/>
  <c r="A210" i="62" s="1"/>
  <c r="A211" i="62" s="1"/>
  <c r="A212" i="62" s="1"/>
  <c r="A213" i="62" s="1"/>
  <c r="A214" i="62" s="1"/>
  <c r="A215" i="62" s="1"/>
  <c r="A216" i="62" s="1"/>
  <c r="A217" i="62" s="1"/>
  <c r="A218" i="62" s="1"/>
  <c r="A219" i="62" s="1"/>
  <c r="D216" i="63"/>
  <c r="D123" i="63"/>
  <c r="D184" i="63"/>
  <c r="A218" i="63"/>
  <c r="A68" i="39"/>
  <c r="AC60" i="39"/>
  <c r="AB60" i="39"/>
  <c r="Z60" i="39"/>
  <c r="Y60" i="39"/>
  <c r="A186" i="63"/>
  <c r="A125" i="63"/>
  <c r="D342" i="63"/>
  <c r="D373" i="63"/>
  <c r="D311" i="63"/>
  <c r="D156" i="63"/>
  <c r="D404" i="63"/>
  <c r="D280" i="63"/>
  <c r="A343" i="63"/>
  <c r="A374" i="63"/>
  <c r="A312" i="63"/>
  <c r="A405" i="63"/>
  <c r="A281" i="63"/>
  <c r="D248" i="63"/>
  <c r="A250" i="63"/>
  <c r="A157" i="63"/>
  <c r="A62" i="38"/>
  <c r="C249" i="63"/>
  <c r="C124" i="63"/>
  <c r="C157" i="63"/>
  <c r="C312" i="63"/>
  <c r="C281" i="63"/>
  <c r="C217" i="63"/>
  <c r="C405" i="63"/>
  <c r="C185" i="63"/>
  <c r="C374" i="63"/>
  <c r="C343" i="63"/>
  <c r="AE60" i="39" l="1"/>
  <c r="A220" i="62"/>
  <c r="D124" i="63"/>
  <c r="D217" i="63"/>
  <c r="D185" i="63"/>
  <c r="A126" i="63"/>
  <c r="A187" i="63"/>
  <c r="A219" i="63"/>
  <c r="D281" i="63"/>
  <c r="D405" i="63"/>
  <c r="D374" i="63"/>
  <c r="D343" i="63"/>
  <c r="D157" i="63"/>
  <c r="D312" i="63"/>
  <c r="A282" i="63"/>
  <c r="A406" i="63"/>
  <c r="A375" i="63"/>
  <c r="A344" i="63"/>
  <c r="A313" i="63"/>
  <c r="D249" i="63"/>
  <c r="A251" i="63"/>
  <c r="A158" i="63"/>
  <c r="A64" i="38"/>
  <c r="A63" i="38"/>
  <c r="C282" i="63"/>
  <c r="C125" i="63"/>
  <c r="C344" i="63"/>
  <c r="C406" i="63"/>
  <c r="C250" i="63"/>
  <c r="C375" i="63"/>
  <c r="C186" i="63"/>
  <c r="C158" i="63"/>
  <c r="C218" i="63"/>
  <c r="C313" i="63"/>
  <c r="D186" i="63" l="1"/>
  <c r="D125" i="63"/>
  <c r="D218" i="63"/>
  <c r="A220" i="63"/>
  <c r="A188" i="63"/>
  <c r="A127" i="63"/>
  <c r="D406" i="63"/>
  <c r="D313" i="63"/>
  <c r="D344" i="63"/>
  <c r="D282" i="63"/>
  <c r="D158" i="63"/>
  <c r="D375" i="63"/>
  <c r="A407" i="63"/>
  <c r="A314" i="63"/>
  <c r="A345" i="63"/>
  <c r="A283" i="63"/>
  <c r="A376" i="63"/>
  <c r="D250" i="63"/>
  <c r="A252" i="63"/>
  <c r="A159" i="63"/>
  <c r="C407" i="63"/>
  <c r="C126" i="63"/>
  <c r="C345" i="63"/>
  <c r="C283" i="63"/>
  <c r="C187" i="63"/>
  <c r="C219" i="63"/>
  <c r="C159" i="63"/>
  <c r="C314" i="63"/>
  <c r="C376" i="63"/>
  <c r="C251" i="63"/>
  <c r="D219" i="63" l="1"/>
  <c r="D126" i="63"/>
  <c r="D187" i="63"/>
  <c r="A221" i="63"/>
  <c r="A128" i="63"/>
  <c r="A189" i="63"/>
  <c r="D407" i="63"/>
  <c r="D314" i="63"/>
  <c r="D159" i="63"/>
  <c r="D376" i="63"/>
  <c r="D283" i="63"/>
  <c r="D345" i="63"/>
  <c r="A408" i="63"/>
  <c r="A315" i="63"/>
  <c r="A377" i="63"/>
  <c r="A284" i="63"/>
  <c r="A346" i="63"/>
  <c r="D251" i="63"/>
  <c r="A253" i="63"/>
  <c r="A160" i="63"/>
  <c r="C188" i="63"/>
  <c r="C346" i="63"/>
  <c r="C220" i="63"/>
  <c r="C127" i="63"/>
  <c r="C377" i="63"/>
  <c r="C160" i="63"/>
  <c r="C252" i="63"/>
  <c r="C284" i="63"/>
  <c r="C408" i="63"/>
  <c r="C315" i="63"/>
  <c r="D188" i="63" l="1"/>
  <c r="D127" i="63"/>
  <c r="D220" i="63"/>
  <c r="A129" i="63"/>
  <c r="A222" i="63"/>
  <c r="A190" i="63"/>
  <c r="D346" i="63"/>
  <c r="D284" i="63"/>
  <c r="D315" i="63"/>
  <c r="D408" i="63"/>
  <c r="D160" i="63"/>
  <c r="D377" i="63"/>
  <c r="A347" i="63"/>
  <c r="A285" i="63"/>
  <c r="A316" i="63"/>
  <c r="A409" i="63"/>
  <c r="A378" i="63"/>
  <c r="D252" i="63"/>
  <c r="A254" i="63"/>
  <c r="A161" i="63"/>
  <c r="C128" i="63"/>
  <c r="C409" i="63"/>
  <c r="C189" i="63"/>
  <c r="C221" i="63"/>
  <c r="C347" i="63"/>
  <c r="C316" i="63"/>
  <c r="C285" i="63"/>
  <c r="C161" i="63"/>
  <c r="C253" i="63"/>
  <c r="C378" i="63"/>
  <c r="D189" i="63" l="1"/>
  <c r="D221" i="63"/>
  <c r="D128" i="63"/>
  <c r="A223" i="63"/>
  <c r="A130" i="63"/>
  <c r="A191" i="63"/>
  <c r="D347" i="63"/>
  <c r="D285" i="63"/>
  <c r="D316" i="63"/>
  <c r="D161" i="63"/>
  <c r="D378" i="63"/>
  <c r="D409" i="63"/>
  <c r="A348" i="63"/>
  <c r="A286" i="63"/>
  <c r="A317" i="63"/>
  <c r="A379" i="63"/>
  <c r="A410" i="63"/>
  <c r="D253" i="63"/>
  <c r="A255" i="63"/>
  <c r="A162" i="63"/>
  <c r="C317" i="63"/>
  <c r="C348" i="63"/>
  <c r="C379" i="63"/>
  <c r="C190" i="63"/>
  <c r="C222" i="63"/>
  <c r="C286" i="63"/>
  <c r="C254" i="63"/>
  <c r="C410" i="63"/>
  <c r="C129" i="63"/>
  <c r="C162" i="63"/>
  <c r="D129" i="63" l="1"/>
  <c r="D222" i="63"/>
  <c r="D190" i="63"/>
  <c r="A131" i="63"/>
  <c r="A224" i="63"/>
  <c r="A192" i="63"/>
  <c r="D286" i="63"/>
  <c r="D162" i="63"/>
  <c r="D379" i="63"/>
  <c r="D348" i="63"/>
  <c r="D410" i="63"/>
  <c r="D317" i="63"/>
  <c r="A287" i="63"/>
  <c r="A380" i="63"/>
  <c r="A349" i="63"/>
  <c r="A411" i="63"/>
  <c r="A318" i="63"/>
  <c r="D254" i="63"/>
  <c r="A256" i="63"/>
  <c r="A163" i="63"/>
  <c r="A7" i="6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C163" i="63"/>
  <c r="C380" i="63"/>
  <c r="C287" i="63"/>
  <c r="C318" i="63"/>
  <c r="C191" i="63"/>
  <c r="C131" i="63"/>
  <c r="C130" i="63"/>
  <c r="C349" i="63"/>
  <c r="C223" i="63"/>
  <c r="C255" i="63"/>
  <c r="C411" i="63"/>
  <c r="A109" i="61" l="1"/>
  <c r="A110" i="61" s="1"/>
  <c r="A111" i="61" s="1"/>
  <c r="A112" i="61" s="1"/>
  <c r="A113" i="61" s="1"/>
  <c r="A114" i="61" s="1"/>
  <c r="A115" i="61" s="1"/>
  <c r="A116" i="61" s="1"/>
  <c r="A117" i="61" s="1"/>
  <c r="A118" i="61" s="1"/>
  <c r="A119" i="61" s="1"/>
  <c r="A121" i="61" s="1"/>
  <c r="A122" i="61" s="1"/>
  <c r="A123" i="61" s="1"/>
  <c r="A124" i="61" s="1"/>
  <c r="A125" i="61" s="1"/>
  <c r="D223" i="63"/>
  <c r="D191" i="63"/>
  <c r="D130" i="63"/>
  <c r="D131" i="63"/>
  <c r="A225" i="63"/>
  <c r="A193" i="63"/>
  <c r="D163" i="63"/>
  <c r="D318" i="63"/>
  <c r="D411" i="63"/>
  <c r="D287" i="63"/>
  <c r="D349" i="63"/>
  <c r="D380" i="63"/>
  <c r="A319" i="63"/>
  <c r="A412" i="63"/>
  <c r="A288" i="63"/>
  <c r="A350" i="63"/>
  <c r="A381" i="63"/>
  <c r="D255" i="63"/>
  <c r="A257" i="63"/>
  <c r="C288" i="63"/>
  <c r="C412" i="63"/>
  <c r="C256" i="63"/>
  <c r="C319" i="63"/>
  <c r="C381" i="63"/>
  <c r="C224" i="63"/>
  <c r="C192" i="63"/>
  <c r="C350" i="63"/>
  <c r="A126" i="61" l="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D224" i="63"/>
  <c r="D192" i="63"/>
  <c r="A226" i="63"/>
  <c r="A194" i="63"/>
  <c r="D350" i="63"/>
  <c r="D381" i="63"/>
  <c r="D288" i="63"/>
  <c r="D319" i="63"/>
  <c r="D412" i="63"/>
  <c r="A351" i="63"/>
  <c r="A382" i="63"/>
  <c r="A289" i="63"/>
  <c r="A320" i="63"/>
  <c r="A413" i="63"/>
  <c r="D256" i="63"/>
  <c r="A258" i="63"/>
  <c r="Z67" i="46"/>
  <c r="Z103" i="46" s="1"/>
  <c r="Z62" i="46"/>
  <c r="D48" i="46"/>
  <c r="D1" i="46"/>
  <c r="C1" i="46"/>
  <c r="B1" i="46"/>
  <c r="A1" i="46"/>
  <c r="AY173" i="34"/>
  <c r="AY172" i="34"/>
  <c r="AY171" i="34"/>
  <c r="AY170" i="34"/>
  <c r="AY169" i="34"/>
  <c r="AY168" i="34"/>
  <c r="AY167" i="34"/>
  <c r="AY166" i="34"/>
  <c r="AY165" i="34"/>
  <c r="AB74" i="34"/>
  <c r="AB86" i="34" s="1"/>
  <c r="AY164" i="34"/>
  <c r="AY163" i="34"/>
  <c r="AY162" i="34"/>
  <c r="AY161" i="34"/>
  <c r="AY160" i="34"/>
  <c r="AY159" i="34"/>
  <c r="AY158" i="34"/>
  <c r="AY157" i="34"/>
  <c r="AY156" i="34"/>
  <c r="AY155" i="34"/>
  <c r="AY154" i="34"/>
  <c r="D63" i="34"/>
  <c r="AY153" i="34"/>
  <c r="AY152" i="34"/>
  <c r="AY151" i="34"/>
  <c r="AY150" i="34"/>
  <c r="AY149" i="34"/>
  <c r="AY148" i="34"/>
  <c r="AY147" i="34"/>
  <c r="AY146" i="34"/>
  <c r="AY145" i="34"/>
  <c r="AJ58" i="34"/>
  <c r="AY144" i="34"/>
  <c r="AY143" i="34"/>
  <c r="AY142" i="34"/>
  <c r="AJ50" i="34"/>
  <c r="AJ44" i="34"/>
  <c r="AR52" i="34"/>
  <c r="AR47" i="34"/>
  <c r="AR51" i="34"/>
  <c r="AR46" i="34"/>
  <c r="AR50" i="34"/>
  <c r="AR45" i="34"/>
  <c r="AR49" i="34"/>
  <c r="AR44" i="34"/>
  <c r="AN28" i="34"/>
  <c r="AM28" i="34"/>
  <c r="AR42" i="34"/>
  <c r="AR37" i="34"/>
  <c r="AR41" i="34"/>
  <c r="AR36" i="34"/>
  <c r="AN26" i="34"/>
  <c r="AM26" i="34"/>
  <c r="AR40" i="34"/>
  <c r="AR35" i="34"/>
  <c r="AR39" i="34"/>
  <c r="AR34" i="34"/>
  <c r="AN24" i="34"/>
  <c r="AM24" i="34"/>
  <c r="AN22" i="34"/>
  <c r="AM22" i="34"/>
  <c r="AN20" i="34"/>
  <c r="AM20" i="34"/>
  <c r="AR32" i="34"/>
  <c r="AR27" i="34"/>
  <c r="AN18" i="34"/>
  <c r="AM18" i="34"/>
  <c r="AR31" i="34"/>
  <c r="AR26" i="34"/>
  <c r="AR30" i="34"/>
  <c r="AR25" i="34"/>
  <c r="AN16" i="34"/>
  <c r="AM16" i="34"/>
  <c r="AR29" i="34"/>
  <c r="AR24" i="34"/>
  <c r="AN14" i="34"/>
  <c r="AM14" i="34"/>
  <c r="AR22" i="34"/>
  <c r="AR21" i="34"/>
  <c r="AR16" i="34"/>
  <c r="AR20" i="34"/>
  <c r="AR15" i="34"/>
  <c r="AR19" i="34"/>
  <c r="D1" i="34"/>
  <c r="C1" i="34"/>
  <c r="B1" i="34"/>
  <c r="A1" i="34"/>
  <c r="D67" i="38"/>
  <c r="Z54" i="38"/>
  <c r="Y54" i="38"/>
  <c r="S51" i="38"/>
  <c r="S52" i="38" s="1"/>
  <c r="S53" i="38" s="1"/>
  <c r="S54" i="38" s="1"/>
  <c r="S46" i="38"/>
  <c r="S47" i="38" s="1"/>
  <c r="S48" i="38" s="1"/>
  <c r="S49" i="38" s="1"/>
  <c r="Z44" i="38"/>
  <c r="Y44" i="38"/>
  <c r="S41" i="38"/>
  <c r="S42" i="38" s="1"/>
  <c r="S43" i="38" s="1"/>
  <c r="S44" i="38" s="1"/>
  <c r="S36" i="38"/>
  <c r="S37" i="38" s="1"/>
  <c r="S38" i="38" s="1"/>
  <c r="S39" i="38" s="1"/>
  <c r="Z34" i="38"/>
  <c r="Y34" i="38"/>
  <c r="S31" i="38"/>
  <c r="S32" i="38" s="1"/>
  <c r="S33" i="38" s="1"/>
  <c r="S34" i="38" s="1"/>
  <c r="S26" i="38"/>
  <c r="S27" i="38" s="1"/>
  <c r="S28" i="38" s="1"/>
  <c r="S29" i="38" s="1"/>
  <c r="Z24" i="38"/>
  <c r="Y24" i="38"/>
  <c r="Z23" i="38"/>
  <c r="M22" i="38" s="1"/>
  <c r="Y23" i="38"/>
  <c r="F22" i="38" s="1"/>
  <c r="Z21" i="38"/>
  <c r="M20" i="38" s="1"/>
  <c r="Y21" i="38"/>
  <c r="F20" i="38" s="1"/>
  <c r="S21" i="38"/>
  <c r="S22" i="38" s="1"/>
  <c r="S23" i="38" s="1"/>
  <c r="S24" i="38" s="1"/>
  <c r="Z19" i="38"/>
  <c r="M18" i="38" s="1"/>
  <c r="Y19" i="38"/>
  <c r="F18" i="38" s="1"/>
  <c r="Z17" i="38"/>
  <c r="M16" i="38" s="1"/>
  <c r="Y17" i="38"/>
  <c r="F16" i="38" s="1"/>
  <c r="S16" i="38"/>
  <c r="S17" i="38" s="1"/>
  <c r="S18" i="38" s="1"/>
  <c r="S19" i="38" s="1"/>
  <c r="D1" i="38"/>
  <c r="C1" i="38"/>
  <c r="B1" i="38"/>
  <c r="A1" i="38"/>
  <c r="AA84" i="39"/>
  <c r="AC86" i="39" s="1"/>
  <c r="AC87" i="39" s="1"/>
  <c r="D72" i="39"/>
  <c r="AD59" i="39"/>
  <c r="AA59" i="39"/>
  <c r="AQ69" i="39"/>
  <c r="AD58" i="39"/>
  <c r="AA57" i="39"/>
  <c r="AQ68" i="39"/>
  <c r="AR68" i="39"/>
  <c r="Z50" i="39"/>
  <c r="Y50" i="39"/>
  <c r="Z49" i="39"/>
  <c r="Y49" i="39"/>
  <c r="Y48" i="39"/>
  <c r="Z47" i="39"/>
  <c r="AC47" i="39"/>
  <c r="Y47" i="39"/>
  <c r="Y46" i="39"/>
  <c r="Z46" i="39"/>
  <c r="Z45" i="39"/>
  <c r="Y45" i="39"/>
  <c r="AB45" i="39"/>
  <c r="AR40" i="39"/>
  <c r="Z40" i="39"/>
  <c r="Y40" i="39"/>
  <c r="Z39" i="39"/>
  <c r="AC39" i="39"/>
  <c r="AB39" i="39"/>
  <c r="Y39" i="39"/>
  <c r="AB38" i="39"/>
  <c r="Z38" i="39"/>
  <c r="Y38" i="39"/>
  <c r="AC38" i="39"/>
  <c r="AC37" i="39"/>
  <c r="AB37" i="39"/>
  <c r="Z37" i="39"/>
  <c r="Y37" i="39"/>
  <c r="Z36" i="39"/>
  <c r="Y36" i="39"/>
  <c r="AC36" i="39"/>
  <c r="AB35" i="39"/>
  <c r="Y35" i="39"/>
  <c r="Z35" i="39"/>
  <c r="AQ33" i="39"/>
  <c r="AQ32" i="39"/>
  <c r="AR30" i="39"/>
  <c r="AR31" i="39"/>
  <c r="AQ31" i="39"/>
  <c r="AQ30" i="39"/>
  <c r="AR33" i="39"/>
  <c r="AR32" i="39"/>
  <c r="Y30" i="39"/>
  <c r="AC30" i="39"/>
  <c r="AB30" i="39"/>
  <c r="Z30" i="39"/>
  <c r="Y29" i="39"/>
  <c r="AC29" i="39"/>
  <c r="AB29" i="39"/>
  <c r="Z29" i="39"/>
  <c r="Z28" i="39"/>
  <c r="AC28" i="39"/>
  <c r="AB28" i="39"/>
  <c r="AC27" i="39"/>
  <c r="AB27" i="39"/>
  <c r="Z27" i="39"/>
  <c r="Y27" i="39"/>
  <c r="AC26" i="39"/>
  <c r="Z26" i="39"/>
  <c r="Y26" i="39"/>
  <c r="AB26" i="39"/>
  <c r="AN15" i="39"/>
  <c r="AB25" i="39"/>
  <c r="Y25" i="39"/>
  <c r="AC25" i="39"/>
  <c r="Z25" i="39"/>
  <c r="D1" i="39"/>
  <c r="C1" i="39"/>
  <c r="B1" i="39"/>
  <c r="A1" i="39"/>
  <c r="L98" i="41"/>
  <c r="D86" i="41"/>
  <c r="D1" i="41"/>
  <c r="C1" i="41"/>
  <c r="B1" i="41"/>
  <c r="A1" i="41"/>
  <c r="B118" i="29"/>
  <c r="B119" i="29" s="1"/>
  <c r="B120" i="29" s="1"/>
  <c r="B121" i="29" s="1"/>
  <c r="B122" i="29" s="1"/>
  <c r="B123" i="29" s="1"/>
  <c r="B124" i="29" s="1"/>
  <c r="B125" i="29" s="1"/>
  <c r="B126" i="29" s="1"/>
  <c r="L106" i="29"/>
  <c r="T67" i="29"/>
  <c r="U66" i="29"/>
  <c r="T66" i="29"/>
  <c r="T59" i="29"/>
  <c r="U58" i="29"/>
  <c r="T58" i="29"/>
  <c r="T57" i="29"/>
  <c r="T55" i="29"/>
  <c r="T53" i="29"/>
  <c r="T51" i="29"/>
  <c r="U50" i="29"/>
  <c r="T50" i="29"/>
  <c r="T49" i="29"/>
  <c r="T46" i="29"/>
  <c r="U45" i="29"/>
  <c r="T45" i="29"/>
  <c r="T41" i="29"/>
  <c r="U40" i="29"/>
  <c r="T40" i="29"/>
  <c r="T39" i="29"/>
  <c r="T38" i="29"/>
  <c r="T37" i="29"/>
  <c r="T36" i="29"/>
  <c r="U34" i="29"/>
  <c r="T34" i="29"/>
  <c r="A30" i="29"/>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U28" i="29"/>
  <c r="T28" i="29"/>
  <c r="T26" i="29"/>
  <c r="D1" i="29"/>
  <c r="C1" i="29"/>
  <c r="B1" i="29"/>
  <c r="A1" i="29"/>
  <c r="L98" i="25"/>
  <c r="L86" i="25"/>
  <c r="C86" i="25"/>
  <c r="C87" i="25" s="1"/>
  <c r="P71" i="25"/>
  <c r="P70" i="25"/>
  <c r="P69" i="25"/>
  <c r="P68" i="25"/>
  <c r="AG65" i="25"/>
  <c r="AC65" i="25"/>
  <c r="AF65" i="25" s="1"/>
  <c r="AB65" i="25"/>
  <c r="AE65" i="25" s="1"/>
  <c r="AA65" i="25"/>
  <c r="AD65" i="25" s="1"/>
  <c r="J45" i="25"/>
  <c r="M45" i="25" s="1"/>
  <c r="A6" i="60"/>
  <c r="A7" i="60" s="1"/>
  <c r="A8" i="60" s="1"/>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A57" i="60" s="1"/>
  <c r="A58" i="60" s="1"/>
  <c r="A59" i="60" s="1"/>
  <c r="A60"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A184" i="60" s="1"/>
  <c r="A185" i="60" s="1"/>
  <c r="A186" i="60" s="1"/>
  <c r="A187" i="60" s="1"/>
  <c r="A188" i="60" s="1"/>
  <c r="A189" i="60" s="1"/>
  <c r="A190" i="60" s="1"/>
  <c r="A191" i="60" s="1"/>
  <c r="A192" i="60" s="1"/>
  <c r="A193" i="60" s="1"/>
  <c r="A194" i="60" s="1"/>
  <c r="A195" i="60" s="1"/>
  <c r="A196" i="60" s="1"/>
  <c r="A197" i="60" s="1"/>
  <c r="A198" i="60" s="1"/>
  <c r="A199" i="60" s="1"/>
  <c r="A200" i="60" s="1"/>
  <c r="A201" i="60" s="1"/>
  <c r="A202" i="60" s="1"/>
  <c r="A203" i="60" s="1"/>
  <c r="A204" i="60" s="1"/>
  <c r="A205" i="60" s="1"/>
  <c r="A206" i="60" s="1"/>
  <c r="A207" i="60" s="1"/>
  <c r="A208" i="60" s="1"/>
  <c r="A209" i="60" s="1"/>
  <c r="A210" i="60" s="1"/>
  <c r="A211" i="60" s="1"/>
  <c r="A212" i="60" s="1"/>
  <c r="A213" i="60" s="1"/>
  <c r="A214" i="60" s="1"/>
  <c r="A215" i="60" s="1"/>
  <c r="A216" i="60" s="1"/>
  <c r="A217" i="60" s="1"/>
  <c r="A218" i="60" s="1"/>
  <c r="A219" i="60" s="1"/>
  <c r="A220" i="60" s="1"/>
  <c r="A221" i="60" s="1"/>
  <c r="A222" i="60" s="1"/>
  <c r="A223" i="60" s="1"/>
  <c r="A224" i="60" s="1"/>
  <c r="A225" i="60" s="1"/>
  <c r="A226" i="60" s="1"/>
  <c r="A227" i="60" s="1"/>
  <c r="A228" i="60" s="1"/>
  <c r="A229" i="60" s="1"/>
  <c r="A230" i="60" s="1"/>
  <c r="A231" i="60" s="1"/>
  <c r="A232" i="60" s="1"/>
  <c r="A233" i="60" s="1"/>
  <c r="A234" i="60" s="1"/>
  <c r="A235" i="60" s="1"/>
  <c r="A236" i="60" s="1"/>
  <c r="A237" i="60" s="1"/>
  <c r="A238" i="60" s="1"/>
  <c r="A239" i="60" s="1"/>
  <c r="A240" i="60" s="1"/>
  <c r="A241" i="60" s="1"/>
  <c r="A242" i="60" s="1"/>
  <c r="A243" i="60" s="1"/>
  <c r="A244" i="60" s="1"/>
  <c r="A245" i="60" s="1"/>
  <c r="A246" i="60" s="1"/>
  <c r="A247" i="60" s="1"/>
  <c r="A248" i="60" s="1"/>
  <c r="A249" i="60" s="1"/>
  <c r="A250" i="60" s="1"/>
  <c r="C351" i="63"/>
  <c r="C289" i="63"/>
  <c r="C257" i="63"/>
  <c r="C320" i="63"/>
  <c r="C413" i="63"/>
  <c r="C193" i="63"/>
  <c r="C382" i="63"/>
  <c r="C225" i="63"/>
  <c r="AB14" i="34" l="1"/>
  <c r="B127" i="29"/>
  <c r="B128" i="29" s="1"/>
  <c r="B129" i="29" s="1"/>
  <c r="B130" i="29" s="1"/>
  <c r="B131" i="29" s="1"/>
  <c r="B132" i="29" s="1"/>
  <c r="B133" i="29" s="1"/>
  <c r="AE45" i="39"/>
  <c r="AE37" i="39"/>
  <c r="AE35" i="39"/>
  <c r="AE38" i="39"/>
  <c r="AE39" i="39"/>
  <c r="AE30" i="39"/>
  <c r="AE29" i="39"/>
  <c r="AE25" i="39"/>
  <c r="AE27" i="39"/>
  <c r="AE26" i="39"/>
  <c r="A150" i="61"/>
  <c r="A151" i="61" s="1"/>
  <c r="A152" i="61" s="1"/>
  <c r="A153" i="61" s="1"/>
  <c r="A154" i="61" s="1"/>
  <c r="A155" i="61" s="1"/>
  <c r="A156" i="61" s="1"/>
  <c r="A157" i="61" s="1"/>
  <c r="A158" i="61" s="1"/>
  <c r="A159" i="61" s="1"/>
  <c r="A160" i="61" s="1"/>
  <c r="A161" i="61" s="1"/>
  <c r="A162" i="61" s="1"/>
  <c r="A163" i="61" s="1"/>
  <c r="A164" i="61" s="1"/>
  <c r="A165" i="61" s="1"/>
  <c r="A166" i="61" s="1"/>
  <c r="A167" i="61" s="1"/>
  <c r="A168" i="61" s="1"/>
  <c r="A169" i="61" s="1"/>
  <c r="A170" i="61" s="1"/>
  <c r="A171" i="61" s="1"/>
  <c r="A172" i="61" s="1"/>
  <c r="A173" i="61" s="1"/>
  <c r="A174" i="61" s="1"/>
  <c r="A175" i="61" s="1"/>
  <c r="A176" i="61" s="1"/>
  <c r="A177" i="61" s="1"/>
  <c r="A178" i="61" s="1"/>
  <c r="A179" i="61" s="1"/>
  <c r="A180" i="61" s="1"/>
  <c r="A181" i="61" s="1"/>
  <c r="A182" i="61" s="1"/>
  <c r="A183" i="61" s="1"/>
  <c r="A184" i="61" s="1"/>
  <c r="A185" i="61" s="1"/>
  <c r="A186" i="61" s="1"/>
  <c r="A187" i="61" s="1"/>
  <c r="A188" i="61" s="1"/>
  <c r="A189" i="61" s="1"/>
  <c r="A190" i="61" s="1"/>
  <c r="A191" i="61" s="1"/>
  <c r="A192" i="61" s="1"/>
  <c r="A193" i="61" s="1"/>
  <c r="A194" i="61" s="1"/>
  <c r="A195" i="61" s="1"/>
  <c r="A196" i="61" s="1"/>
  <c r="A197" i="61" s="1"/>
  <c r="A198" i="61" s="1"/>
  <c r="A199" i="61" s="1"/>
  <c r="A200" i="61" s="1"/>
  <c r="A201" i="61" s="1"/>
  <c r="A202" i="61" s="1"/>
  <c r="A203" i="61" s="1"/>
  <c r="A204" i="61" s="1"/>
  <c r="A205" i="61" s="1"/>
  <c r="A206" i="61" s="1"/>
  <c r="A207" i="61" s="1"/>
  <c r="A208" i="61" s="1"/>
  <c r="A209" i="61" s="1"/>
  <c r="A210" i="61" s="1"/>
  <c r="A211" i="61" s="1"/>
  <c r="A212" i="61" s="1"/>
  <c r="A213" i="61" s="1"/>
  <c r="A214" i="61" s="1"/>
  <c r="A215" i="61" s="1"/>
  <c r="A216" i="61" s="1"/>
  <c r="A217" i="61" s="1"/>
  <c r="A218" i="61" s="1"/>
  <c r="A219" i="61" s="1"/>
  <c r="A220" i="61" s="1"/>
  <c r="A221" i="61" s="1"/>
  <c r="A222" i="61" s="1"/>
  <c r="A223" i="61" s="1"/>
  <c r="A224" i="61" s="1"/>
  <c r="A225" i="61" s="1"/>
  <c r="A226" i="61" s="1"/>
  <c r="A227" i="61" s="1"/>
  <c r="A228" i="61" s="1"/>
  <c r="A229" i="61" s="1"/>
  <c r="A230" i="61" s="1"/>
  <c r="A231" i="61" s="1"/>
  <c r="A232" i="61" s="1"/>
  <c r="A233" i="61" s="1"/>
  <c r="A234" i="61" s="1"/>
  <c r="A235" i="61" s="1"/>
  <c r="A236" i="61" s="1"/>
  <c r="A237" i="61" s="1"/>
  <c r="A238" i="61" s="1"/>
  <c r="A239" i="61" s="1"/>
  <c r="A240" i="61" s="1"/>
  <c r="A241" i="61" s="1"/>
  <c r="A242" i="61" s="1"/>
  <c r="A243" i="61" s="1"/>
  <c r="A244" i="61" s="1"/>
  <c r="A245" i="61" s="1"/>
  <c r="A246" i="61" s="1"/>
  <c r="A247" i="61" s="1"/>
  <c r="A248" i="61" s="1"/>
  <c r="A249" i="61" s="1"/>
  <c r="A250" i="61" s="1"/>
  <c r="A251" i="61" s="1"/>
  <c r="A252" i="61" s="1"/>
  <c r="A253" i="61" s="1"/>
  <c r="A254" i="61" s="1"/>
  <c r="A255" i="61" s="1"/>
  <c r="A256" i="61" s="1"/>
  <c r="A257" i="61" s="1"/>
  <c r="A258" i="61" s="1"/>
  <c r="A259" i="61" s="1"/>
  <c r="A260" i="61" s="1"/>
  <c r="A261" i="61" s="1"/>
  <c r="A262" i="61" s="1"/>
  <c r="A263" i="61" s="1"/>
  <c r="A264" i="61" s="1"/>
  <c r="A265" i="61" s="1"/>
  <c r="A266" i="61" s="1"/>
  <c r="A267" i="61" s="1"/>
  <c r="A268" i="61" s="1"/>
  <c r="A269" i="61" s="1"/>
  <c r="A270" i="61" s="1"/>
  <c r="A271" i="61" s="1"/>
  <c r="A272" i="61" s="1"/>
  <c r="A273" i="61" s="1"/>
  <c r="A274" i="61" s="1"/>
  <c r="A275" i="61" s="1"/>
  <c r="A276" i="61" s="1"/>
  <c r="A277" i="61" s="1"/>
  <c r="A278" i="61" s="1"/>
  <c r="A279" i="61" s="1"/>
  <c r="A280" i="61" s="1"/>
  <c r="AB16" i="34"/>
  <c r="AB20" i="34"/>
  <c r="AB28" i="34"/>
  <c r="AB22" i="34"/>
  <c r="AB26" i="34"/>
  <c r="AB18" i="34"/>
  <c r="AB24" i="34"/>
  <c r="AA86" i="39"/>
  <c r="D193" i="63"/>
  <c r="D225" i="63"/>
  <c r="AD87" i="39"/>
  <c r="AD86" i="39" s="1"/>
  <c r="AA38" i="39"/>
  <c r="AA87" i="39"/>
  <c r="AA88" i="39" s="1"/>
  <c r="Z77" i="46"/>
  <c r="Z97" i="46"/>
  <c r="AD26" i="39"/>
  <c r="AD30" i="39"/>
  <c r="AA40" i="39"/>
  <c r="A195" i="63"/>
  <c r="AA26" i="39"/>
  <c r="AB86" i="39"/>
  <c r="A227" i="63"/>
  <c r="AD37" i="39"/>
  <c r="AD39" i="39"/>
  <c r="AA50" i="39"/>
  <c r="AA39" i="39"/>
  <c r="AA37" i="39"/>
  <c r="AA30" i="39"/>
  <c r="AA29" i="39"/>
  <c r="AA45" i="39"/>
  <c r="D382" i="63"/>
  <c r="D351" i="63"/>
  <c r="D413" i="63"/>
  <c r="D320" i="63"/>
  <c r="D289" i="63"/>
  <c r="A383" i="63"/>
  <c r="A352" i="63"/>
  <c r="A414" i="63"/>
  <c r="A321" i="63"/>
  <c r="A290" i="63"/>
  <c r="D257" i="63"/>
  <c r="A259" i="63"/>
  <c r="AM36" i="34"/>
  <c r="AN36" i="34"/>
  <c r="AA56" i="39"/>
  <c r="AA58" i="39"/>
  <c r="AA47" i="39"/>
  <c r="AA36" i="39"/>
  <c r="AR13" i="39"/>
  <c r="AR76" i="39"/>
  <c r="AQ78" i="39"/>
  <c r="AR77" i="39"/>
  <c r="AR75" i="39"/>
  <c r="AQ76" i="39"/>
  <c r="AQ77" i="39"/>
  <c r="AD55" i="39"/>
  <c r="AR78" i="39"/>
  <c r="AD56" i="39"/>
  <c r="AD60" i="39"/>
  <c r="AD57" i="39"/>
  <c r="AR66" i="39"/>
  <c r="AQ67" i="39"/>
  <c r="AR67" i="39"/>
  <c r="AA60" i="39"/>
  <c r="AC45" i="39"/>
  <c r="AD45" i="39" s="1"/>
  <c r="AC46" i="39"/>
  <c r="AB47" i="39"/>
  <c r="AD47" i="39" s="1"/>
  <c r="AB48" i="39"/>
  <c r="AC50" i="39"/>
  <c r="AC48" i="39"/>
  <c r="AQ60" i="39"/>
  <c r="AQ59" i="39"/>
  <c r="AR57" i="39"/>
  <c r="AR59" i="39"/>
  <c r="AB49" i="39"/>
  <c r="AE49" i="39" s="1"/>
  <c r="AC49" i="39"/>
  <c r="AB46" i="39"/>
  <c r="AE46" i="39" s="1"/>
  <c r="AB50" i="39"/>
  <c r="AE50" i="39" s="1"/>
  <c r="AR60" i="39"/>
  <c r="AQ50" i="39"/>
  <c r="AA46" i="39"/>
  <c r="AQ48" i="39"/>
  <c r="AA49" i="39"/>
  <c r="AR49" i="39"/>
  <c r="AR51" i="39"/>
  <c r="AQ51" i="39"/>
  <c r="Z48" i="39"/>
  <c r="AK52" i="39" s="1"/>
  <c r="AD67" i="39" s="1"/>
  <c r="AR39" i="39"/>
  <c r="AQ40" i="39"/>
  <c r="AQ41" i="39"/>
  <c r="AD38" i="39"/>
  <c r="AR42" i="39"/>
  <c r="AC35" i="39"/>
  <c r="AB40" i="39"/>
  <c r="AE40" i="39" s="1"/>
  <c r="AC40" i="39"/>
  <c r="AR41" i="39"/>
  <c r="AB36" i="39"/>
  <c r="AD36" i="39" s="1"/>
  <c r="AA35" i="39"/>
  <c r="AK34" i="39"/>
  <c r="AB67" i="39" s="1"/>
  <c r="AD25" i="39"/>
  <c r="AK25" i="39"/>
  <c r="AA67" i="39" s="1"/>
  <c r="AD28" i="39"/>
  <c r="AD27" i="39"/>
  <c r="AD29" i="39"/>
  <c r="AR23" i="39"/>
  <c r="AR24" i="39"/>
  <c r="AQ23" i="39"/>
  <c r="AQ24" i="39"/>
  <c r="AA27" i="39"/>
  <c r="AQ15" i="39"/>
  <c r="AA25" i="39"/>
  <c r="Y28" i="39"/>
  <c r="AR15" i="39"/>
  <c r="AQ13" i="39"/>
  <c r="AQ14" i="39"/>
  <c r="AQ66" i="39"/>
  <c r="AA55" i="39"/>
  <c r="C258" i="63"/>
  <c r="C290" i="63"/>
  <c r="C194" i="63"/>
  <c r="C227" i="63"/>
  <c r="C414" i="63"/>
  <c r="C383" i="63"/>
  <c r="C226" i="63"/>
  <c r="C321" i="63"/>
  <c r="C352" i="63"/>
  <c r="C195" i="63"/>
  <c r="AP41" i="39" l="1"/>
  <c r="AP33" i="39"/>
  <c r="AP24" i="39"/>
  <c r="AP49" i="39"/>
  <c r="AP32" i="39"/>
  <c r="AP23" i="39"/>
  <c r="AP30" i="39"/>
  <c r="AP31" i="39"/>
  <c r="AP21" i="39"/>
  <c r="AP22" i="39"/>
  <c r="AP14" i="39"/>
  <c r="AP12" i="39"/>
  <c r="AP51" i="39"/>
  <c r="AE47" i="39"/>
  <c r="AE48" i="39"/>
  <c r="AE36" i="39"/>
  <c r="AA28" i="39"/>
  <c r="AP15" i="39" s="1"/>
  <c r="AE28" i="39"/>
  <c r="AB36" i="34"/>
  <c r="D226" i="63"/>
  <c r="D195" i="63"/>
  <c r="D227" i="63"/>
  <c r="D194" i="63"/>
  <c r="AK16" i="39"/>
  <c r="Z67" i="39" s="1"/>
  <c r="AM38" i="34"/>
  <c r="AN38" i="34"/>
  <c r="AD46" i="39"/>
  <c r="AD49" i="39"/>
  <c r="AP58" i="39" s="1"/>
  <c r="AD48" i="39"/>
  <c r="AD40" i="39"/>
  <c r="AP42" i="39" s="1"/>
  <c r="AP68" i="39"/>
  <c r="AP69" i="39"/>
  <c r="R71" i="29"/>
  <c r="Q86" i="29" s="1"/>
  <c r="P96" i="41" s="1"/>
  <c r="AB97" i="34"/>
  <c r="D414" i="63"/>
  <c r="D352" i="63"/>
  <c r="D383" i="63"/>
  <c r="D290" i="63"/>
  <c r="D321" i="63"/>
  <c r="A415" i="63"/>
  <c r="A353" i="63"/>
  <c r="A384" i="63"/>
  <c r="A291" i="63"/>
  <c r="A322" i="63"/>
  <c r="D258" i="63"/>
  <c r="AP78" i="39"/>
  <c r="AD50" i="39"/>
  <c r="AA48" i="39"/>
  <c r="AP50" i="39" s="1"/>
  <c r="AP77" i="39"/>
  <c r="AP75" i="39"/>
  <c r="AP76" i="39"/>
  <c r="AQ75" i="39"/>
  <c r="AK70" i="39"/>
  <c r="AF67" i="39" s="1"/>
  <c r="AR69" i="39"/>
  <c r="AQ58" i="39"/>
  <c r="AK61" i="39"/>
  <c r="AE67" i="39" s="1"/>
  <c r="AQ57" i="39"/>
  <c r="AR58" i="39"/>
  <c r="AR50" i="39"/>
  <c r="AQ49" i="39"/>
  <c r="AR48" i="39"/>
  <c r="AK43" i="39"/>
  <c r="AC67" i="39" s="1"/>
  <c r="AD35" i="39"/>
  <c r="AQ42" i="39"/>
  <c r="AQ39" i="39"/>
  <c r="AQ22" i="39"/>
  <c r="AR21" i="39"/>
  <c r="AQ21" i="39"/>
  <c r="AR22" i="39"/>
  <c r="AR12" i="39"/>
  <c r="AQ12" i="39"/>
  <c r="AR14" i="39"/>
  <c r="AP66" i="39"/>
  <c r="AC19" i="39"/>
  <c r="AP67" i="39"/>
  <c r="AC20" i="39"/>
  <c r="C415" i="63"/>
  <c r="C384" i="63"/>
  <c r="C291" i="63"/>
  <c r="C322" i="63"/>
  <c r="C353" i="63"/>
  <c r="C259" i="63"/>
  <c r="AP48" i="39" l="1"/>
  <c r="Z19" i="39"/>
  <c r="AP39" i="39"/>
  <c r="AP40" i="39"/>
  <c r="AV40" i="39" s="1"/>
  <c r="Z20" i="39"/>
  <c r="AP13" i="39"/>
  <c r="AU13" i="39" s="1"/>
  <c r="AP57" i="39"/>
  <c r="AP59" i="39"/>
  <c r="AP60" i="39"/>
  <c r="AB20" i="39"/>
  <c r="AT24" i="39"/>
  <c r="AE22" i="39"/>
  <c r="AB38" i="34"/>
  <c r="AV30" i="39"/>
  <c r="AS31" i="39"/>
  <c r="AS33" i="39"/>
  <c r="AV22" i="39"/>
  <c r="AS24" i="39"/>
  <c r="AV68" i="39"/>
  <c r="AA19" i="39"/>
  <c r="AU22" i="39"/>
  <c r="AV14" i="39"/>
  <c r="AM40" i="34"/>
  <c r="AN40" i="34"/>
  <c r="AV50" i="39"/>
  <c r="AV31" i="39"/>
  <c r="AU51" i="39"/>
  <c r="AB19" i="39"/>
  <c r="AU48" i="39"/>
  <c r="AU69" i="39"/>
  <c r="AB98" i="34"/>
  <c r="D291" i="63"/>
  <c r="D353" i="63"/>
  <c r="D415" i="63"/>
  <c r="D384" i="63"/>
  <c r="D322" i="63"/>
  <c r="A354" i="63"/>
  <c r="A416" i="63"/>
  <c r="A385" i="63"/>
  <c r="A323" i="63"/>
  <c r="D259" i="63"/>
  <c r="AS78" i="39"/>
  <c r="AU78" i="39"/>
  <c r="AT33" i="39"/>
  <c r="AT30" i="39"/>
  <c r="AA20" i="39"/>
  <c r="AT23" i="39"/>
  <c r="AU24" i="39"/>
  <c r="AV23" i="39"/>
  <c r="AU15" i="39"/>
  <c r="AS22" i="39"/>
  <c r="AS23" i="39"/>
  <c r="AV76" i="39"/>
  <c r="AU76" i="39"/>
  <c r="AS76" i="39"/>
  <c r="AV75" i="39"/>
  <c r="AU75" i="39"/>
  <c r="AG71" i="39"/>
  <c r="AT75" i="39"/>
  <c r="AG70" i="39"/>
  <c r="AG69" i="39"/>
  <c r="AG68" i="39"/>
  <c r="AT77" i="39"/>
  <c r="AV77" i="39"/>
  <c r="AS77" i="39"/>
  <c r="AT78" i="39"/>
  <c r="AV49" i="39"/>
  <c r="AU49" i="39"/>
  <c r="AT51" i="39"/>
  <c r="AD70" i="39"/>
  <c r="AT50" i="39"/>
  <c r="AT39" i="39"/>
  <c r="AV32" i="39"/>
  <c r="AT32" i="39"/>
  <c r="AS32" i="39"/>
  <c r="AB69" i="39"/>
  <c r="AB71" i="39"/>
  <c r="AB68" i="39"/>
  <c r="AU33" i="39"/>
  <c r="AU30" i="39"/>
  <c r="AB70" i="39"/>
  <c r="AU31" i="39"/>
  <c r="AA70" i="39"/>
  <c r="AT21" i="39"/>
  <c r="AA71" i="39"/>
  <c r="AA68" i="39"/>
  <c r="AV21" i="39"/>
  <c r="AA69" i="39"/>
  <c r="AU21" i="39"/>
  <c r="AV12" i="39"/>
  <c r="AU12" i="39"/>
  <c r="Z70" i="39"/>
  <c r="AS15" i="39"/>
  <c r="AS14" i="39"/>
  <c r="AS67" i="39"/>
  <c r="AT68" i="39"/>
  <c r="AU67" i="39"/>
  <c r="AT69" i="39"/>
  <c r="AV67" i="39"/>
  <c r="AS68" i="39"/>
  <c r="AF68" i="39"/>
  <c r="AV66" i="39"/>
  <c r="AS69" i="39"/>
  <c r="AF69" i="39"/>
  <c r="AU66" i="39"/>
  <c r="AF71" i="39"/>
  <c r="AT66" i="39"/>
  <c r="AF70" i="39"/>
  <c r="M71" i="29"/>
  <c r="C323" i="63"/>
  <c r="C416" i="63"/>
  <c r="C354" i="63"/>
  <c r="C385" i="63"/>
  <c r="AU60" i="39" l="1"/>
  <c r="Z69" i="39"/>
  <c r="Z71" i="39"/>
  <c r="Z68" i="39"/>
  <c r="AV13" i="39"/>
  <c r="AT14" i="39"/>
  <c r="AW14" i="39" s="1"/>
  <c r="AT15" i="39"/>
  <c r="AX15" i="39" s="1"/>
  <c r="AT12" i="39"/>
  <c r="AX12" i="39" s="1"/>
  <c r="AB40" i="34"/>
  <c r="AS40" i="39"/>
  <c r="AS13" i="39"/>
  <c r="AD19" i="39"/>
  <c r="AT48" i="39"/>
  <c r="AY49" i="39" s="1"/>
  <c r="AS50" i="39"/>
  <c r="AX50" i="39" s="1"/>
  <c r="AS51" i="39"/>
  <c r="AX51" i="39" s="1"/>
  <c r="AD69" i="39"/>
  <c r="AX31" i="39"/>
  <c r="O190" i="64"/>
  <c r="AX24" i="39"/>
  <c r="AT57" i="39"/>
  <c r="AS58" i="39"/>
  <c r="AS59" i="39"/>
  <c r="AU58" i="39"/>
  <c r="AE69" i="39"/>
  <c r="AU57" i="39"/>
  <c r="AT59" i="39"/>
  <c r="AT60" i="39"/>
  <c r="AV57" i="39"/>
  <c r="AY24" i="39"/>
  <c r="AE68" i="39"/>
  <c r="AE70" i="39"/>
  <c r="AV59" i="39"/>
  <c r="AE71" i="39"/>
  <c r="AS60" i="39"/>
  <c r="AV58" i="39"/>
  <c r="AY33" i="39"/>
  <c r="AV48" i="39"/>
  <c r="AY51" i="39" s="1"/>
  <c r="AS49" i="39"/>
  <c r="AD71" i="39"/>
  <c r="AD68" i="39"/>
  <c r="AY21" i="39"/>
  <c r="AM42" i="34"/>
  <c r="AN42" i="34"/>
  <c r="AX30" i="39"/>
  <c r="AX23" i="39"/>
  <c r="AY23" i="39"/>
  <c r="AD20" i="39"/>
  <c r="AX33" i="39"/>
  <c r="AC68" i="39"/>
  <c r="P67" i="38"/>
  <c r="AB99" i="34"/>
  <c r="D385" i="63"/>
  <c r="D416" i="63"/>
  <c r="D354" i="63"/>
  <c r="D323" i="63"/>
  <c r="A386" i="63"/>
  <c r="A417" i="63"/>
  <c r="A355" i="63"/>
  <c r="AX78" i="39"/>
  <c r="AY77" i="39"/>
  <c r="AY50" i="39"/>
  <c r="AC70" i="39"/>
  <c r="AU39" i="39"/>
  <c r="AW31" i="39"/>
  <c r="AW30" i="39"/>
  <c r="AY31" i="39"/>
  <c r="AX22" i="39"/>
  <c r="AW22" i="39"/>
  <c r="AY15" i="39"/>
  <c r="AX77" i="39"/>
  <c r="AW77" i="39"/>
  <c r="AY78" i="39"/>
  <c r="AX76" i="39"/>
  <c r="AW76" i="39"/>
  <c r="AY75" i="39"/>
  <c r="AX75" i="39"/>
  <c r="AY76" i="39"/>
  <c r="AW75" i="39"/>
  <c r="AW78" i="39"/>
  <c r="AV39" i="39"/>
  <c r="AC69" i="39"/>
  <c r="AC71" i="39"/>
  <c r="AU40" i="39"/>
  <c r="AV41" i="39"/>
  <c r="AT41" i="39"/>
  <c r="AS41" i="39"/>
  <c r="AU42" i="39"/>
  <c r="AT42" i="39"/>
  <c r="AS42" i="39"/>
  <c r="AW33" i="39"/>
  <c r="AX32" i="39"/>
  <c r="AW32" i="39"/>
  <c r="AY30" i="39"/>
  <c r="AY32" i="39"/>
  <c r="AX21" i="39"/>
  <c r="AY22" i="39"/>
  <c r="AW21" i="39"/>
  <c r="AW23" i="39"/>
  <c r="AW24" i="39"/>
  <c r="AY14" i="39"/>
  <c r="AW68" i="39"/>
  <c r="AX68" i="39"/>
  <c r="AX66" i="39"/>
  <c r="AW66" i="39"/>
  <c r="AY67" i="39"/>
  <c r="AY68" i="39"/>
  <c r="AX69" i="39"/>
  <c r="AW69" i="39"/>
  <c r="AY69" i="39"/>
  <c r="AY66" i="39"/>
  <c r="AX67" i="39"/>
  <c r="AW67" i="39"/>
  <c r="Y63" i="34"/>
  <c r="O48" i="46"/>
  <c r="H52" i="46" s="1"/>
  <c r="R62" i="25"/>
  <c r="S65" i="25" s="1"/>
  <c r="M86" i="41"/>
  <c r="V72" i="39"/>
  <c r="C417" i="63"/>
  <c r="C386" i="63"/>
  <c r="C355" i="63"/>
  <c r="AW12" i="39" l="1"/>
  <c r="AX40" i="39"/>
  <c r="AW15" i="39"/>
  <c r="AW13" i="39"/>
  <c r="AX13" i="39"/>
  <c r="AY12" i="39"/>
  <c r="AX14" i="39"/>
  <c r="AY13" i="39"/>
  <c r="AW58" i="39"/>
  <c r="AX58" i="39"/>
  <c r="AW49" i="39"/>
  <c r="AX49" i="39"/>
  <c r="AW50" i="39"/>
  <c r="AB42" i="34"/>
  <c r="AY59" i="39"/>
  <c r="AY58" i="39"/>
  <c r="AY60" i="39"/>
  <c r="AX59" i="39"/>
  <c r="AX57" i="39"/>
  <c r="AW59" i="39"/>
  <c r="AY57" i="39"/>
  <c r="AW60" i="39"/>
  <c r="AX60" i="39"/>
  <c r="AW57" i="39"/>
  <c r="AW48" i="39"/>
  <c r="AX48" i="39"/>
  <c r="AW51" i="39"/>
  <c r="AY48" i="39"/>
  <c r="AM46" i="34"/>
  <c r="C94" i="25"/>
  <c r="D62" i="25"/>
  <c r="AX39" i="39"/>
  <c r="AC71" i="34"/>
  <c r="AG71" i="34" s="1"/>
  <c r="AB103" i="34"/>
  <c r="AN46" i="34"/>
  <c r="AB102" i="34"/>
  <c r="D355" i="63"/>
  <c r="D386" i="63"/>
  <c r="D417" i="63"/>
  <c r="A387" i="63"/>
  <c r="A418" i="63"/>
  <c r="AW39" i="39"/>
  <c r="AY41" i="39"/>
  <c r="AY40" i="39"/>
  <c r="AX41" i="39"/>
  <c r="AW41" i="39"/>
  <c r="AY39" i="39"/>
  <c r="AW40" i="39"/>
  <c r="AX42" i="39"/>
  <c r="AW42" i="39"/>
  <c r="AY42" i="39"/>
  <c r="AB7" i="38"/>
  <c r="AC7" i="38" s="1"/>
  <c r="AA4" i="39"/>
  <c r="V134" i="46"/>
  <c r="G59" i="46"/>
  <c r="H59" i="46" s="1"/>
  <c r="N59" i="46" s="1"/>
  <c r="AC67" i="34"/>
  <c r="AG67" i="34" s="1"/>
  <c r="AC69" i="34"/>
  <c r="AG69" i="34" s="1"/>
  <c r="AB11" i="38"/>
  <c r="AC11" i="38" s="1"/>
  <c r="C93" i="25"/>
  <c r="C88" i="25"/>
  <c r="P65" i="25"/>
  <c r="C89" i="25"/>
  <c r="H69" i="25"/>
  <c r="C92" i="25"/>
  <c r="H71" i="25"/>
  <c r="C90" i="25"/>
  <c r="H70" i="25"/>
  <c r="C91" i="25"/>
  <c r="C95" i="25"/>
  <c r="H57" i="46"/>
  <c r="H56" i="46"/>
  <c r="H53" i="46"/>
  <c r="H55" i="46"/>
  <c r="H58" i="46"/>
  <c r="H54" i="46"/>
  <c r="C418" i="63"/>
  <c r="C387" i="63"/>
  <c r="AH8" i="38" l="1"/>
  <c r="AB46" i="34"/>
  <c r="AF139" i="34"/>
  <c r="AB106" i="34"/>
  <c r="AB109" i="34"/>
  <c r="AN48" i="34"/>
  <c r="AM48" i="34"/>
  <c r="AA7" i="39"/>
  <c r="AC5" i="39" s="1"/>
  <c r="D418" i="63"/>
  <c r="D387" i="63"/>
  <c r="A419" i="63"/>
  <c r="AF9" i="38"/>
  <c r="AF7" i="38"/>
  <c r="N55" i="46"/>
  <c r="N53" i="46"/>
  <c r="G119" i="46" s="1"/>
  <c r="N54" i="46"/>
  <c r="AA5" i="39"/>
  <c r="AA6" i="39" s="1"/>
  <c r="C419" i="63"/>
  <c r="AF6" i="38" l="1"/>
  <c r="AF8" i="38"/>
  <c r="AH6" i="38"/>
  <c r="AH7" i="38"/>
  <c r="AC145" i="34"/>
  <c r="AC144" i="34"/>
  <c r="AC143" i="34"/>
  <c r="AC142" i="34"/>
  <c r="AC140" i="34"/>
  <c r="AC141" i="34"/>
  <c r="AB48" i="34"/>
  <c r="AC147" i="34"/>
  <c r="AC146" i="34"/>
  <c r="AM56" i="34"/>
  <c r="G121" i="46"/>
  <c r="D419" i="63"/>
  <c r="AN56" i="34"/>
  <c r="T63" i="46"/>
  <c r="AD62" i="46"/>
  <c r="AD64" i="46" s="1"/>
  <c r="AE65" i="46" s="1"/>
  <c r="T62" i="46"/>
  <c r="AD5" i="39"/>
  <c r="AE5" i="39" s="1"/>
  <c r="AB56" i="34" l="1"/>
  <c r="AU144" i="34" s="1"/>
  <c r="AC38" i="34"/>
  <c r="AD38" i="34" s="1"/>
  <c r="AC20" i="34"/>
  <c r="AD20" i="34" s="1"/>
  <c r="AC42" i="34"/>
  <c r="AD42" i="34" s="1"/>
  <c r="AE20" i="34"/>
  <c r="AF20" i="34" s="1"/>
  <c r="AC14" i="34"/>
  <c r="AD14" i="34" s="1"/>
  <c r="AE46" i="34"/>
  <c r="AF46" i="34" s="1"/>
  <c r="AE56" i="34"/>
  <c r="AF56" i="34" s="1"/>
  <c r="AE59" i="34"/>
  <c r="AF59" i="34" s="1"/>
  <c r="AL59" i="34" s="1"/>
  <c r="AC52" i="34"/>
  <c r="AD52" i="34" s="1"/>
  <c r="AC56" i="34"/>
  <c r="AD56" i="34" s="1"/>
  <c r="AC46" i="34"/>
  <c r="AD46" i="34" s="1"/>
  <c r="AC48" i="34"/>
  <c r="AD48" i="34" s="1"/>
  <c r="AC40" i="34"/>
  <c r="AD40" i="34" s="1"/>
  <c r="AE48" i="34"/>
  <c r="AF48" i="34" s="1"/>
  <c r="AE52" i="34"/>
  <c r="AF52" i="34" s="1"/>
  <c r="AE40" i="34"/>
  <c r="AF40" i="34" s="1"/>
  <c r="AE42" i="34"/>
  <c r="AF42" i="34" s="1"/>
  <c r="AE36" i="34"/>
  <c r="AF36" i="34" s="1"/>
  <c r="AE38" i="34"/>
  <c r="AF38" i="34" s="1"/>
  <c r="AC36" i="34"/>
  <c r="AD36" i="34" s="1"/>
  <c r="AE14" i="34"/>
  <c r="AF14" i="34" s="1"/>
  <c r="AE28" i="34"/>
  <c r="AF28" i="34" s="1"/>
  <c r="AE26" i="34"/>
  <c r="AF26" i="34" s="1"/>
  <c r="AE24" i="34"/>
  <c r="AF24" i="34" s="1"/>
  <c r="AE22" i="34"/>
  <c r="AF22" i="34" s="1"/>
  <c r="AE18" i="34"/>
  <c r="AF18" i="34" s="1"/>
  <c r="AE16" i="34"/>
  <c r="AF16" i="34" s="1"/>
  <c r="AC28" i="34"/>
  <c r="AD28" i="34" s="1"/>
  <c r="AC26" i="34"/>
  <c r="AD26" i="34" s="1"/>
  <c r="AC24" i="34"/>
  <c r="AD24" i="34" s="1"/>
  <c r="AC22" i="34"/>
  <c r="AD22" i="34" s="1"/>
  <c r="AC18" i="34"/>
  <c r="AD18" i="34" s="1"/>
  <c r="AC16" i="34"/>
  <c r="AD16" i="34" s="1"/>
  <c r="AD65" i="46"/>
  <c r="T64" i="46"/>
  <c r="AF158" i="34" l="1"/>
  <c r="AM158" i="34" s="1"/>
  <c r="AH47" i="34"/>
  <c r="AH53" i="34"/>
  <c r="AJ53" i="34"/>
  <c r="AH15" i="34"/>
  <c r="AH49" i="34"/>
  <c r="AH57" i="34"/>
  <c r="AJ47" i="34"/>
  <c r="AJ57" i="34"/>
  <c r="AJ49" i="34"/>
  <c r="AF162" i="34"/>
  <c r="AF165" i="34" s="1"/>
  <c r="AJ39" i="34"/>
  <c r="AJ41" i="34"/>
  <c r="AJ37" i="34"/>
  <c r="AH43" i="34"/>
  <c r="AH41" i="34"/>
  <c r="AH37" i="34"/>
  <c r="AH39" i="34"/>
  <c r="AJ43" i="34"/>
  <c r="AH29" i="34"/>
  <c r="AJ29" i="34"/>
  <c r="AH27" i="34"/>
  <c r="AJ27" i="34"/>
  <c r="AH25" i="34"/>
  <c r="AJ25" i="34"/>
  <c r="AH23" i="34"/>
  <c r="AJ23" i="34"/>
  <c r="AH21" i="34"/>
  <c r="AJ21" i="34"/>
  <c r="AJ19" i="34"/>
  <c r="AH17" i="34"/>
  <c r="AH19" i="34"/>
  <c r="AJ15" i="34"/>
  <c r="AJ17" i="34"/>
  <c r="U65" i="46"/>
  <c r="T65" i="46"/>
  <c r="T66" i="46" s="1"/>
  <c r="AF163" i="34" l="1"/>
  <c r="AF164" i="34"/>
  <c r="AF166" i="34"/>
  <c r="AF68" i="46"/>
  <c r="V6" i="25" l="1"/>
  <c r="W67" i="25"/>
  <c r="W68" i="25"/>
  <c r="W66" i="25" s="1"/>
  <c r="C1" i="60" l="1"/>
  <c r="C2" i="60" s="1"/>
  <c r="B22" i="60"/>
  <c r="B30" i="60"/>
  <c r="B31" i="60"/>
  <c r="B28" i="60"/>
  <c r="B17" i="60"/>
  <c r="B52" i="60"/>
  <c r="B19" i="60"/>
  <c r="B49" i="60"/>
  <c r="B55" i="60"/>
  <c r="B40" i="60"/>
  <c r="B45" i="60"/>
  <c r="B48" i="60"/>
  <c r="B26" i="60"/>
  <c r="B20" i="60"/>
  <c r="B23" i="60"/>
  <c r="B46" i="60"/>
  <c r="B8" i="60"/>
  <c r="B29" i="60"/>
  <c r="B15" i="60"/>
  <c r="B18" i="60"/>
  <c r="B54" i="60"/>
  <c r="B47" i="60"/>
  <c r="B56" i="60"/>
  <c r="B24" i="60"/>
  <c r="B41" i="60"/>
  <c r="B39" i="60"/>
  <c r="B9" i="60"/>
  <c r="B10" i="60"/>
  <c r="B6" i="60"/>
  <c r="B53" i="60"/>
  <c r="B43" i="60"/>
  <c r="B16" i="60"/>
  <c r="B38" i="60"/>
  <c r="B44" i="60"/>
  <c r="B32" i="60"/>
  <c r="B36" i="60"/>
  <c r="B51" i="60"/>
  <c r="B50" i="60"/>
  <c r="B27" i="60"/>
  <c r="B33" i="60"/>
  <c r="B21" i="60"/>
  <c r="B7" i="60"/>
  <c r="B25" i="60"/>
  <c r="B42" i="60"/>
  <c r="B37" i="60"/>
  <c r="U2" i="64" l="1"/>
  <c r="C1" i="62"/>
  <c r="C2" i="62" s="1"/>
  <c r="C1" i="63"/>
  <c r="C2" i="63" s="1"/>
  <c r="C1" i="61"/>
  <c r="D13" i="64" l="1"/>
  <c r="T10" i="64"/>
  <c r="T9" i="64"/>
  <c r="K44" i="38"/>
  <c r="V50" i="38" s="1"/>
  <c r="D44" i="38"/>
  <c r="V45" i="38" s="1"/>
  <c r="V48" i="38" s="1"/>
  <c r="C2" i="61"/>
  <c r="Q72" i="25"/>
  <c r="B155" i="61"/>
  <c r="T8" i="64" a="1"/>
  <c r="T7" i="64" a="1"/>
  <c r="B70" i="63"/>
  <c r="B9" i="62"/>
  <c r="B99" i="62"/>
  <c r="B80" i="62"/>
  <c r="B36" i="63"/>
  <c r="B190" i="61"/>
  <c r="B10" i="61"/>
  <c r="B90" i="61"/>
  <c r="B44" i="62"/>
  <c r="B110" i="62"/>
  <c r="B252" i="62"/>
  <c r="B64" i="62"/>
  <c r="B81" i="63"/>
  <c r="B66" i="61"/>
  <c r="B96" i="61"/>
  <c r="B185" i="61"/>
  <c r="B141" i="61"/>
  <c r="B243" i="62"/>
  <c r="B221" i="62"/>
  <c r="B21" i="62"/>
  <c r="B184" i="62"/>
  <c r="B63" i="63"/>
  <c r="B169" i="62"/>
  <c r="B101" i="61"/>
  <c r="B60" i="63"/>
  <c r="B100" i="62"/>
  <c r="B111" i="62"/>
  <c r="B203" i="62"/>
  <c r="B141" i="62"/>
  <c r="B194" i="61"/>
  <c r="B8" i="62"/>
  <c r="B52" i="63"/>
  <c r="B239" i="62"/>
  <c r="B173" i="62"/>
  <c r="B214" i="62"/>
  <c r="B228" i="62"/>
  <c r="B186" i="61"/>
  <c r="B76" i="61"/>
  <c r="B164" i="61"/>
  <c r="B73" i="61"/>
  <c r="B41" i="62"/>
  <c r="B189" i="62"/>
  <c r="B198" i="62"/>
  <c r="B248" i="62"/>
  <c r="B168" i="61"/>
  <c r="B23" i="61"/>
  <c r="B179" i="61"/>
  <c r="B13" i="61"/>
  <c r="B32" i="62"/>
  <c r="B237" i="62"/>
  <c r="B133" i="62"/>
  <c r="B91" i="62"/>
  <c r="B49" i="61"/>
  <c r="B73" i="63"/>
  <c r="B128" i="62"/>
  <c r="B156" i="62"/>
  <c r="B14" i="63"/>
  <c r="B212" i="62"/>
  <c r="B6" i="61"/>
  <c r="B24" i="61"/>
  <c r="B170" i="61"/>
  <c r="B153" i="61"/>
  <c r="B48" i="62"/>
  <c r="B253" i="62"/>
  <c r="B211" i="62"/>
  <c r="B104" i="62"/>
  <c r="B12" i="61"/>
  <c r="B117" i="61"/>
  <c r="B264" i="62"/>
  <c r="B77" i="62"/>
  <c r="B187" i="62"/>
  <c r="B197" i="62"/>
  <c r="B92" i="61"/>
  <c r="B130" i="62"/>
  <c r="B7" i="63"/>
  <c r="B10" i="63"/>
  <c r="B159" i="62"/>
  <c r="B18" i="61"/>
  <c r="B60" i="61"/>
  <c r="B181" i="62"/>
  <c r="B64" i="63"/>
  <c r="B50" i="62"/>
  <c r="B114" i="61"/>
  <c r="B138" i="61"/>
  <c r="B58" i="63"/>
  <c r="B109" i="62"/>
  <c r="B180" i="61"/>
  <c r="B244" i="62"/>
  <c r="B19" i="63"/>
  <c r="B11" i="63"/>
  <c r="B93" i="62"/>
  <c r="B43" i="63"/>
  <c r="B26" i="61"/>
  <c r="B7" i="61"/>
  <c r="B97" i="62"/>
  <c r="B40" i="61"/>
  <c r="B167" i="61"/>
  <c r="B169" i="61"/>
  <c r="B8" i="63"/>
  <c r="B66" i="63"/>
  <c r="B130" i="61"/>
  <c r="B64" i="61"/>
  <c r="B125" i="62"/>
  <c r="B65" i="63"/>
  <c r="B20" i="61"/>
  <c r="B232" i="62"/>
  <c r="B183" i="62"/>
  <c r="B22" i="63"/>
  <c r="B71" i="62"/>
  <c r="B216" i="62"/>
  <c r="B6" i="63"/>
  <c r="B57" i="61"/>
  <c r="B136" i="61"/>
  <c r="B16" i="63"/>
  <c r="B18" i="63"/>
  <c r="B134" i="61"/>
  <c r="B145" i="61"/>
  <c r="B25" i="63"/>
  <c r="B194" i="62"/>
  <c r="B59" i="61"/>
  <c r="B20" i="62"/>
  <c r="B121" i="62"/>
  <c r="B188" i="61"/>
  <c r="B128" i="61"/>
  <c r="B13" i="63"/>
  <c r="B61" i="63"/>
  <c r="B118" i="61"/>
  <c r="B27" i="62"/>
  <c r="B82" i="62"/>
  <c r="B222" i="62"/>
  <c r="B171" i="62"/>
  <c r="B181" i="61"/>
  <c r="B142" i="61"/>
  <c r="B120" i="61"/>
  <c r="B144" i="61"/>
  <c r="B55" i="62"/>
  <c r="B37" i="63"/>
  <c r="B56" i="63"/>
  <c r="B247" i="62"/>
  <c r="B219" i="62"/>
  <c r="B98" i="61"/>
  <c r="B27" i="61"/>
  <c r="B116" i="61"/>
  <c r="B146" i="61"/>
  <c r="B43" i="61"/>
  <c r="B134" i="62"/>
  <c r="B218" i="62"/>
  <c r="B117" i="62"/>
  <c r="B85" i="62"/>
  <c r="B162" i="62"/>
  <c r="B91" i="61"/>
  <c r="B75" i="61"/>
  <c r="B71" i="63"/>
  <c r="B60" i="62"/>
  <c r="B124" i="62"/>
  <c r="B42" i="63"/>
  <c r="B89" i="61"/>
  <c r="B201" i="62"/>
  <c r="B47" i="62"/>
  <c r="B34" i="63"/>
  <c r="B62" i="63"/>
  <c r="B261" i="62"/>
  <c r="B183" i="61"/>
  <c r="B135" i="61"/>
  <c r="B100" i="61"/>
  <c r="B68" i="61"/>
  <c r="B258" i="62"/>
  <c r="B33" i="62"/>
  <c r="B79" i="63"/>
  <c r="B113" i="62"/>
  <c r="B28" i="63"/>
  <c r="B8" i="61"/>
  <c r="B46" i="61"/>
  <c r="B94" i="61"/>
  <c r="B143" i="62"/>
  <c r="B24" i="63"/>
  <c r="B28" i="62"/>
  <c r="B269" i="62"/>
  <c r="B45" i="63"/>
  <c r="B103" i="61"/>
  <c r="B84" i="62"/>
  <c r="B57" i="63"/>
  <c r="B88" i="62"/>
  <c r="B94" i="62"/>
  <c r="B51" i="61"/>
  <c r="B255" i="62"/>
  <c r="B56" i="62"/>
  <c r="B23" i="63"/>
  <c r="B120" i="62"/>
  <c r="B44" i="63"/>
  <c r="B27" i="63"/>
  <c r="B163" i="62"/>
  <c r="B16" i="62"/>
  <c r="B139" i="61"/>
  <c r="B51" i="63"/>
  <c r="B271" i="62"/>
  <c r="B38" i="63"/>
  <c r="B265" i="62"/>
  <c r="B15" i="61"/>
  <c r="B67" i="61"/>
  <c r="B257" i="62"/>
  <c r="B22" i="62"/>
  <c r="B42" i="61"/>
  <c r="B61" i="61"/>
  <c r="B11" i="61"/>
  <c r="B41" i="63"/>
  <c r="B69" i="63"/>
  <c r="B39" i="61"/>
  <c r="B182" i="62"/>
  <c r="B126" i="62"/>
  <c r="B161" i="61"/>
  <c r="B17" i="63"/>
  <c r="B179" i="62"/>
  <c r="B97" i="61"/>
  <c r="B79" i="61"/>
  <c r="B202" i="62"/>
  <c r="B30" i="62"/>
  <c r="B177" i="62"/>
  <c r="B50" i="61"/>
  <c r="B42" i="62"/>
  <c r="B39" i="63"/>
  <c r="B256" i="62"/>
  <c r="B195" i="62"/>
  <c r="B43" i="62"/>
  <c r="B146" i="62"/>
  <c r="B41" i="61"/>
  <c r="B89" i="62"/>
  <c r="B220" i="62"/>
  <c r="B55" i="61"/>
  <c r="B209" i="62"/>
  <c r="B149" i="62"/>
  <c r="B7" i="62"/>
  <c r="B178" i="62"/>
  <c r="B15" i="63"/>
  <c r="B20" i="63"/>
  <c r="B111" i="61"/>
  <c r="B115" i="61"/>
  <c r="B172" i="61"/>
  <c r="B69" i="61"/>
  <c r="B246" i="62"/>
  <c r="B175" i="62"/>
  <c r="B238" i="62"/>
  <c r="B82" i="63"/>
  <c r="B90" i="62"/>
  <c r="B87" i="61"/>
  <c r="B193" i="61"/>
  <c r="B44" i="61"/>
  <c r="B137" i="61"/>
  <c r="B80" i="61"/>
  <c r="B108" i="62"/>
  <c r="B210" i="62"/>
  <c r="B11" i="62"/>
  <c r="B76" i="63"/>
  <c r="B160" i="61"/>
  <c r="B138" i="62"/>
  <c r="B118" i="62"/>
  <c r="B193" i="62"/>
  <c r="B51" i="62"/>
  <c r="B176" i="62"/>
  <c r="B92" i="62"/>
  <c r="B182" i="61"/>
  <c r="B58" i="62"/>
  <c r="B223" i="62"/>
  <c r="B192" i="62"/>
  <c r="B224" i="62"/>
  <c r="B15" i="62"/>
  <c r="B70" i="61"/>
  <c r="B140" i="61"/>
  <c r="B88" i="61"/>
  <c r="B174" i="61"/>
  <c r="B185" i="62"/>
  <c r="B148" i="62"/>
  <c r="B105" i="62"/>
  <c r="B77" i="63"/>
  <c r="B104" i="61"/>
  <c r="B84" i="61"/>
  <c r="B35" i="61"/>
  <c r="B35" i="63"/>
  <c r="B204" i="62"/>
  <c r="B57" i="62"/>
  <c r="B31" i="62"/>
  <c r="B245" i="62"/>
  <c r="B152" i="61"/>
  <c r="B36" i="62"/>
  <c r="B24" i="62"/>
  <c r="B107" i="62"/>
  <c r="B66" i="62"/>
  <c r="B26" i="62"/>
  <c r="B150" i="61"/>
  <c r="B19" i="61"/>
  <c r="B21" i="63"/>
  <c r="B17" i="61"/>
  <c r="B96" i="62"/>
  <c r="B61" i="62"/>
  <c r="B72" i="62"/>
  <c r="B73" i="62"/>
  <c r="B175" i="61"/>
  <c r="B205" i="62"/>
  <c r="B199" i="62"/>
  <c r="B231" i="62"/>
  <c r="B9" i="63"/>
  <c r="B142" i="62"/>
  <c r="B254" i="62"/>
  <c r="B213" i="62"/>
  <c r="B12" i="63"/>
  <c r="B59" i="62"/>
  <c r="B266" i="62"/>
  <c r="B28" i="61"/>
  <c r="B14" i="61"/>
  <c r="B109" i="61"/>
  <c r="B136" i="62"/>
  <c r="B114" i="62"/>
  <c r="B53" i="62"/>
  <c r="B46" i="62"/>
  <c r="B270" i="62"/>
  <c r="B174" i="62"/>
  <c r="B119" i="61"/>
  <c r="B162" i="61"/>
  <c r="B129" i="61"/>
  <c r="B25" i="61"/>
  <c r="B260" i="62"/>
  <c r="B55" i="63"/>
  <c r="B32" i="63"/>
  <c r="B249" i="62"/>
  <c r="B215" i="62"/>
  <c r="B54" i="61"/>
  <c r="B191" i="61"/>
  <c r="B132" i="61"/>
  <c r="B95" i="62"/>
  <c r="B208" i="62"/>
  <c r="B12" i="62"/>
  <c r="B101" i="62"/>
  <c r="B140" i="62"/>
  <c r="B70" i="62"/>
  <c r="B58" i="61"/>
  <c r="B242" i="62"/>
  <c r="B26" i="63"/>
  <c r="B103" i="62"/>
  <c r="B31" i="63"/>
  <c r="B102" i="62"/>
  <c r="B127" i="61"/>
  <c r="B102" i="61"/>
  <c r="B160" i="62"/>
  <c r="B225" i="62"/>
  <c r="B259" i="62"/>
  <c r="B29" i="62"/>
  <c r="B76" i="62"/>
  <c r="B133" i="61"/>
  <c r="B195" i="61"/>
  <c r="B126" i="61"/>
  <c r="B48" i="63"/>
  <c r="B54" i="63"/>
  <c r="B165" i="62"/>
  <c r="B164" i="62"/>
  <c r="B68" i="63"/>
  <c r="B151" i="61"/>
  <c r="B176" i="61"/>
  <c r="B178" i="61"/>
  <c r="B139" i="62"/>
  <c r="B184" i="61"/>
  <c r="B177" i="61"/>
  <c r="B165" i="61"/>
  <c r="B173" i="61"/>
  <c r="B263" i="62"/>
  <c r="B81" i="61"/>
  <c r="B127" i="62"/>
  <c r="B37" i="61"/>
  <c r="B267" i="62"/>
  <c r="B29" i="61"/>
  <c r="B206" i="62"/>
  <c r="B188" i="62"/>
  <c r="B72" i="63"/>
  <c r="B186" i="62"/>
  <c r="B22" i="61"/>
  <c r="B168" i="62"/>
  <c r="B30" i="63"/>
  <c r="B63" i="61"/>
  <c r="B23" i="62"/>
  <c r="B229" i="62"/>
  <c r="B38" i="61"/>
  <c r="B137" i="62"/>
  <c r="B16" i="61"/>
  <c r="B251" i="62"/>
  <c r="B80" i="63"/>
  <c r="B65" i="62"/>
  <c r="B86" i="62"/>
  <c r="B147" i="62"/>
  <c r="B9" i="61"/>
  <c r="B152" i="62"/>
  <c r="B67" i="62"/>
  <c r="B241" i="62"/>
  <c r="B74" i="61"/>
  <c r="B83" i="62"/>
  <c r="B52" i="62"/>
  <c r="B95" i="61"/>
  <c r="B62" i="61"/>
  <c r="B187" i="61"/>
  <c r="B59" i="63"/>
  <c r="B33" i="63"/>
  <c r="B250" i="62"/>
  <c r="B75" i="63"/>
  <c r="B151" i="62"/>
  <c r="B67" i="63"/>
  <c r="B171" i="61"/>
  <c r="B129" i="62"/>
  <c r="B62" i="62"/>
  <c r="B122" i="62"/>
  <c r="B112" i="61"/>
  <c r="B131" i="61"/>
  <c r="B200" i="62"/>
  <c r="B54" i="62"/>
  <c r="B68" i="62"/>
  <c r="B17" i="62"/>
  <c r="B115" i="62"/>
  <c r="B29" i="63"/>
  <c r="B82" i="61"/>
  <c r="B106" i="62"/>
  <c r="B56" i="61"/>
  <c r="B154" i="62"/>
  <c r="B207" i="62"/>
  <c r="B235" i="62"/>
  <c r="B10" i="62"/>
  <c r="B74" i="63"/>
  <c r="B83" i="61"/>
  <c r="B45" i="62"/>
  <c r="B87" i="62"/>
  <c r="B45" i="61"/>
  <c r="B166" i="61"/>
  <c r="B268" i="62"/>
  <c r="B105" i="61"/>
  <c r="B98" i="62"/>
  <c r="B132" i="62"/>
  <c r="B113" i="61"/>
  <c r="B191" i="62"/>
  <c r="B106" i="61"/>
  <c r="B159" i="61"/>
  <c r="B78" i="63"/>
  <c r="B233" i="62"/>
  <c r="B170" i="62"/>
  <c r="B110" i="61"/>
  <c r="B217" i="62"/>
  <c r="B262" i="62"/>
  <c r="B135" i="62"/>
  <c r="B230" i="62"/>
  <c r="B25" i="62"/>
  <c r="B99" i="61"/>
  <c r="B236" i="62"/>
  <c r="B163" i="61"/>
  <c r="B227" i="62"/>
  <c r="B116" i="62"/>
  <c r="B240" i="62"/>
  <c r="B172" i="62"/>
  <c r="B180" i="62"/>
  <c r="B93" i="61"/>
  <c r="B226" i="62"/>
  <c r="B131" i="62"/>
  <c r="B143" i="61"/>
  <c r="B40" i="63"/>
  <c r="B34" i="62"/>
  <c r="B69" i="62"/>
  <c r="B147" i="61"/>
  <c r="B189" i="61"/>
  <c r="B167" i="62"/>
  <c r="B190" i="62"/>
  <c r="B14" i="62"/>
  <c r="B192" i="61"/>
  <c r="B150" i="62"/>
  <c r="B166" i="62"/>
  <c r="B112" i="62"/>
  <c r="B196" i="62"/>
  <c r="B65" i="61"/>
  <c r="B153" i="62"/>
  <c r="B36" i="61"/>
  <c r="B74" i="62"/>
  <c r="B53" i="63"/>
  <c r="B78" i="62"/>
  <c r="B6" i="62"/>
  <c r="B155" i="62"/>
  <c r="B21" i="61"/>
  <c r="B125" i="61"/>
  <c r="B75" i="62"/>
  <c r="B35" i="62"/>
  <c r="B119" i="62"/>
  <c r="B49" i="62"/>
  <c r="D105" i="46" l="1"/>
  <c r="D63" i="46"/>
  <c r="B118" i="46" s="1"/>
  <c r="D103" i="46"/>
  <c r="P49" i="25"/>
  <c r="D96" i="46"/>
  <c r="G55" i="25"/>
  <c r="O18" i="34"/>
  <c r="O24" i="34"/>
  <c r="O26" i="34"/>
  <c r="O20" i="34"/>
  <c r="AB80" i="46"/>
  <c r="AB85" i="46"/>
  <c r="D72" i="46"/>
  <c r="D100" i="46"/>
  <c r="B123" i="46" s="1"/>
  <c r="D87" i="46"/>
  <c r="D86" i="46"/>
  <c r="B121" i="46" s="1"/>
  <c r="D3" i="46"/>
  <c r="D36" i="46"/>
  <c r="D81" i="46"/>
  <c r="D107" i="46"/>
  <c r="S12" i="64"/>
  <c r="AB82" i="46"/>
  <c r="G14" i="34"/>
  <c r="G22" i="34"/>
  <c r="O16" i="34"/>
  <c r="O22" i="34"/>
  <c r="O28" i="34"/>
  <c r="S13" i="64"/>
  <c r="AB75" i="46"/>
  <c r="D79" i="46"/>
  <c r="D90" i="46"/>
  <c r="D102" i="46"/>
  <c r="AB89" i="46"/>
  <c r="D85" i="46"/>
  <c r="D111" i="46"/>
  <c r="D91" i="46"/>
  <c r="D78" i="46"/>
  <c r="B120" i="46" s="1"/>
  <c r="D88" i="46"/>
  <c r="D113" i="46"/>
  <c r="D94" i="46"/>
  <c r="B122" i="46" s="1"/>
  <c r="AB73" i="46"/>
  <c r="D71" i="46"/>
  <c r="D93" i="46"/>
  <c r="M55" i="25"/>
  <c r="D109" i="46"/>
  <c r="D38" i="46"/>
  <c r="AB84" i="46"/>
  <c r="D76" i="46"/>
  <c r="AB83" i="46"/>
  <c r="D83" i="46"/>
  <c r="D75" i="46"/>
  <c r="D70" i="46"/>
  <c r="B119" i="46" s="1"/>
  <c r="O46" i="34"/>
  <c r="G42" i="34"/>
  <c r="G46" i="34"/>
  <c r="G40" i="34"/>
  <c r="O40" i="34"/>
  <c r="O42" i="34"/>
  <c r="G38" i="34"/>
  <c r="G36" i="34"/>
  <c r="O38" i="34"/>
  <c r="O36" i="34"/>
  <c r="D80" i="46"/>
  <c r="D99" i="46"/>
  <c r="D82" i="46"/>
  <c r="Y67" i="25"/>
  <c r="AB74" i="46"/>
  <c r="D104" i="46"/>
  <c r="G28" i="34"/>
  <c r="G26" i="34"/>
  <c r="G18" i="34"/>
  <c r="G24" i="34"/>
  <c r="G16" i="34"/>
  <c r="D7" i="64"/>
  <c r="D84" i="46"/>
  <c r="D106" i="46"/>
  <c r="AB77" i="46"/>
  <c r="D114" i="46"/>
  <c r="D112" i="46"/>
  <c r="AB128" i="46"/>
  <c r="AB88" i="46"/>
  <c r="D110" i="46"/>
  <c r="D74" i="46"/>
  <c r="D5" i="64"/>
  <c r="D3" i="64"/>
  <c r="AB72" i="46"/>
  <c r="M40" i="64"/>
  <c r="M30" i="64"/>
  <c r="M90" i="64"/>
  <c r="M35" i="64"/>
  <c r="M55" i="64"/>
  <c r="M66" i="64"/>
  <c r="M120" i="64"/>
  <c r="M60" i="64"/>
  <c r="M84" i="64"/>
  <c r="M102" i="64"/>
  <c r="M78" i="64"/>
  <c r="M15" i="64"/>
  <c r="M20" i="64"/>
  <c r="M72" i="64"/>
  <c r="M25" i="64"/>
  <c r="M96" i="64"/>
  <c r="M50" i="64"/>
  <c r="M114" i="64"/>
  <c r="M108" i="64"/>
  <c r="M45" i="64"/>
  <c r="L59" i="34"/>
  <c r="AB81" i="46"/>
  <c r="AB76" i="46"/>
  <c r="C2" i="64"/>
  <c r="D89" i="46"/>
  <c r="D77" i="46"/>
  <c r="J55" i="25"/>
  <c r="D101" i="46"/>
  <c r="D95" i="46"/>
  <c r="D98" i="46"/>
  <c r="D92" i="46"/>
  <c r="D5" i="46"/>
  <c r="D108" i="46"/>
  <c r="B124" i="46" s="1"/>
  <c r="R129" i="46"/>
  <c r="D97" i="46"/>
  <c r="D73" i="46"/>
  <c r="I133" i="46"/>
  <c r="T8" i="64"/>
  <c r="T7" i="64"/>
  <c r="AQ14" i="34"/>
  <c r="V46" i="38"/>
  <c r="V47" i="38"/>
  <c r="V49" i="38"/>
  <c r="AA49" i="38" s="1"/>
  <c r="X45" i="38"/>
  <c r="V54" i="38"/>
  <c r="U54" i="38" s="1"/>
  <c r="V53" i="38"/>
  <c r="AA53" i="38" s="1"/>
  <c r="V52" i="38"/>
  <c r="V51" i="38"/>
  <c r="T2" i="46"/>
  <c r="D69" i="29"/>
  <c r="BC2" i="34"/>
  <c r="Y12" i="34"/>
  <c r="D19" i="39"/>
  <c r="C84" i="25"/>
  <c r="E97" i="25" s="1"/>
  <c r="D11" i="39"/>
  <c r="L7" i="39"/>
  <c r="V7" i="39"/>
  <c r="Y86" i="25"/>
  <c r="R106" i="29"/>
  <c r="L81" i="25"/>
  <c r="G9" i="38"/>
  <c r="R108" i="29"/>
  <c r="L80" i="25"/>
  <c r="L97" i="25" s="1"/>
  <c r="Y75" i="25"/>
  <c r="M49" i="25"/>
  <c r="Y98" i="25"/>
  <c r="Y78" i="25"/>
  <c r="L79" i="25"/>
  <c r="L87" i="25" s="1"/>
  <c r="R113" i="29"/>
  <c r="R116" i="29"/>
  <c r="C79" i="25"/>
  <c r="E96" i="25" s="1"/>
  <c r="J49" i="25"/>
  <c r="Y79" i="25"/>
  <c r="D34" i="34"/>
  <c r="Y83" i="25"/>
  <c r="O52" i="34"/>
  <c r="G52" i="34"/>
  <c r="R115" i="29"/>
  <c r="L9" i="34"/>
  <c r="R107" i="29"/>
  <c r="AC7" i="34"/>
  <c r="T10" i="38"/>
  <c r="F126" i="63"/>
  <c r="S126" i="63" s="1"/>
  <c r="F105" i="63"/>
  <c r="K105" i="63" s="1"/>
  <c r="F119" i="63"/>
  <c r="O119" i="63" s="1"/>
  <c r="F110" i="63"/>
  <c r="K110" i="63" s="1"/>
  <c r="AZ82" i="39"/>
  <c r="AA67" i="25"/>
  <c r="AC67" i="25" s="1"/>
  <c r="AA72" i="25"/>
  <c r="AA94" i="25"/>
  <c r="AA68" i="25"/>
  <c r="F128" i="63"/>
  <c r="I128" i="63" s="1"/>
  <c r="F120" i="63"/>
  <c r="O120" i="63" s="1"/>
  <c r="F111" i="63"/>
  <c r="H111" i="63" s="1"/>
  <c r="F101" i="63"/>
  <c r="AA98" i="25"/>
  <c r="AA89" i="25"/>
  <c r="AA95" i="25"/>
  <c r="AA78" i="25"/>
  <c r="F127" i="63"/>
  <c r="K127" i="63" s="1"/>
  <c r="F124" i="63"/>
  <c r="J124" i="63" s="1"/>
  <c r="F103" i="63"/>
  <c r="R103" i="63" s="1"/>
  <c r="AA69" i="25"/>
  <c r="AA93" i="25"/>
  <c r="AA91" i="25"/>
  <c r="F130" i="63"/>
  <c r="R130" i="63" s="1"/>
  <c r="F116" i="63"/>
  <c r="R116" i="63" s="1"/>
  <c r="F122" i="63"/>
  <c r="S122" i="63" s="1"/>
  <c r="AA90" i="25"/>
  <c r="AA96" i="25"/>
  <c r="AA75" i="25"/>
  <c r="F108" i="63"/>
  <c r="P108" i="63" s="1"/>
  <c r="F129" i="63"/>
  <c r="O129" i="63" s="1"/>
  <c r="F112" i="63"/>
  <c r="S112" i="63" s="1"/>
  <c r="F118" i="63"/>
  <c r="O118" i="63" s="1"/>
  <c r="AA82" i="25"/>
  <c r="AA88" i="25"/>
  <c r="AA86" i="25"/>
  <c r="F125" i="63"/>
  <c r="S125" i="63" s="1"/>
  <c r="F114" i="63"/>
  <c r="Q114" i="63" s="1"/>
  <c r="F121" i="63"/>
  <c r="R121" i="63" s="1"/>
  <c r="F106" i="63"/>
  <c r="N106" i="63" s="1"/>
  <c r="AA73" i="25"/>
  <c r="AA92" i="25"/>
  <c r="F117" i="63"/>
  <c r="R117" i="63" s="1"/>
  <c r="F100" i="63"/>
  <c r="P100" i="63" s="1"/>
  <c r="AA80" i="25"/>
  <c r="AA84" i="25"/>
  <c r="F104" i="63"/>
  <c r="R104" i="63" s="1"/>
  <c r="AA81" i="25"/>
  <c r="AA85" i="25"/>
  <c r="F113" i="63"/>
  <c r="O113" i="63" s="1"/>
  <c r="AA83" i="25"/>
  <c r="AA76" i="25"/>
  <c r="F109" i="63"/>
  <c r="P109" i="63" s="1"/>
  <c r="AA87" i="25"/>
  <c r="AA74" i="25"/>
  <c r="AA79" i="25"/>
  <c r="AO83" i="34"/>
  <c r="F123" i="63"/>
  <c r="S123" i="63" s="1"/>
  <c r="AA71" i="25"/>
  <c r="F102" i="63"/>
  <c r="G102" i="63" s="1"/>
  <c r="F115" i="63"/>
  <c r="S115" i="63" s="1"/>
  <c r="AA70" i="25"/>
  <c r="AA97" i="25"/>
  <c r="AA77" i="25"/>
  <c r="F131" i="63"/>
  <c r="O131" i="63" s="1"/>
  <c r="F107" i="63"/>
  <c r="K107" i="63" s="1"/>
  <c r="AP9" i="38"/>
  <c r="D13" i="38"/>
  <c r="S15" i="39"/>
  <c r="Y95" i="25"/>
  <c r="N6" i="39"/>
  <c r="Y87" i="25"/>
  <c r="C81" i="25"/>
  <c r="V2" i="25"/>
  <c r="D24" i="29"/>
  <c r="E32" i="34"/>
  <c r="S16" i="39"/>
  <c r="E98" i="25"/>
  <c r="L83" i="25"/>
  <c r="AQ9" i="38"/>
  <c r="Y94" i="25"/>
  <c r="U26" i="29"/>
  <c r="S26" i="29" s="1"/>
  <c r="AL2" i="38"/>
  <c r="AL9" i="38"/>
  <c r="D17" i="25"/>
  <c r="T9" i="38"/>
  <c r="AC6" i="34"/>
  <c r="S12" i="38"/>
  <c r="AB9" i="34"/>
  <c r="R111" i="29"/>
  <c r="G49" i="25"/>
  <c r="G20" i="34"/>
  <c r="C78" i="25"/>
  <c r="Y82" i="25"/>
  <c r="C83" i="25"/>
  <c r="E95" i="25" s="1"/>
  <c r="D14" i="29"/>
  <c r="S14" i="39"/>
  <c r="Y84" i="25"/>
  <c r="AC8" i="34"/>
  <c r="T11" i="38"/>
  <c r="G54" i="39"/>
  <c r="G44" i="39"/>
  <c r="G24" i="39"/>
  <c r="G13" i="34"/>
  <c r="G51" i="34"/>
  <c r="Q34" i="39"/>
  <c r="Q44" i="39"/>
  <c r="G35" i="34"/>
  <c r="G34" i="39"/>
  <c r="G45" i="34"/>
  <c r="Q24" i="39"/>
  <c r="G55" i="34"/>
  <c r="Q54" i="39"/>
  <c r="R105" i="29"/>
  <c r="P55" i="25"/>
  <c r="L82" i="25"/>
  <c r="L95" i="25" s="1"/>
  <c r="Y92" i="25"/>
  <c r="Y74" i="25"/>
  <c r="V2" i="29"/>
  <c r="Y68" i="25"/>
  <c r="D6" i="39"/>
  <c r="Y97" i="25"/>
  <c r="Y81" i="25"/>
  <c r="Y88" i="25"/>
  <c r="Y96" i="25"/>
  <c r="D50" i="34"/>
  <c r="D22" i="29"/>
  <c r="D14" i="39"/>
  <c r="Y77" i="25"/>
  <c r="S2" i="41"/>
  <c r="C77" i="25"/>
  <c r="D54" i="34"/>
  <c r="F54" i="39"/>
  <c r="F13" i="34"/>
  <c r="F24" i="39"/>
  <c r="F55" i="34"/>
  <c r="P34" i="39"/>
  <c r="P44" i="39"/>
  <c r="F51" i="34"/>
  <c r="F45" i="34"/>
  <c r="F44" i="39"/>
  <c r="F35" i="34"/>
  <c r="F34" i="39"/>
  <c r="P24" i="39"/>
  <c r="Y91" i="25"/>
  <c r="E35" i="34"/>
  <c r="O44" i="39"/>
  <c r="E34" i="39"/>
  <c r="O24" i="39"/>
  <c r="E24" i="39"/>
  <c r="E44" i="39"/>
  <c r="E55" i="34"/>
  <c r="E51" i="34"/>
  <c r="E54" i="39"/>
  <c r="E45" i="34"/>
  <c r="O34" i="39"/>
  <c r="O54" i="39"/>
  <c r="E13" i="34"/>
  <c r="Y80" i="25"/>
  <c r="C80" i="25"/>
  <c r="R112" i="29"/>
  <c r="Y70" i="25"/>
  <c r="O14" i="34"/>
  <c r="AO9" i="38"/>
  <c r="Y71" i="25"/>
  <c r="BC2" i="39"/>
  <c r="D44" i="34"/>
  <c r="E31" i="34"/>
  <c r="J44" i="39"/>
  <c r="T24" i="39"/>
  <c r="W55" i="34"/>
  <c r="W13" i="34"/>
  <c r="T54" i="39"/>
  <c r="J24" i="39"/>
  <c r="W51" i="34"/>
  <c r="W45" i="34"/>
  <c r="J34" i="39"/>
  <c r="W35" i="34"/>
  <c r="T34" i="39"/>
  <c r="J54" i="39"/>
  <c r="T44" i="39"/>
  <c r="D33" i="34"/>
  <c r="Y89" i="25"/>
  <c r="D5" i="38"/>
  <c r="V22" i="39"/>
  <c r="Y76" i="25"/>
  <c r="C82" i="25"/>
  <c r="D5" i="34"/>
  <c r="Y73" i="25"/>
  <c r="D3" i="34"/>
  <c r="D3" i="38"/>
  <c r="D3" i="39"/>
  <c r="Y72" i="25"/>
  <c r="R114" i="29"/>
  <c r="O48" i="34"/>
  <c r="O56" i="34"/>
  <c r="G48" i="34"/>
  <c r="G56" i="34"/>
  <c r="Y93" i="25"/>
  <c r="Y69" i="25"/>
  <c r="D11" i="34"/>
  <c r="Y90" i="25"/>
  <c r="D9" i="39"/>
  <c r="Y85" i="25"/>
  <c r="R109" i="29"/>
  <c r="R110" i="29"/>
  <c r="D43" i="39"/>
  <c r="AD66" i="39" s="1"/>
  <c r="K34" i="38"/>
  <c r="V40" i="38" s="1"/>
  <c r="AB40" i="38" s="1"/>
  <c r="AE40" i="38" s="1"/>
  <c r="AL41" i="38" s="1"/>
  <c r="AL45" i="38" s="1"/>
  <c r="D53" i="39"/>
  <c r="Y53" i="39" s="1"/>
  <c r="AB45" i="38"/>
  <c r="AE45" i="38" s="1"/>
  <c r="AL46" i="38" s="1"/>
  <c r="AL50" i="38" s="1"/>
  <c r="K24" i="38"/>
  <c r="V30" i="38" s="1"/>
  <c r="AB30" i="38" s="1"/>
  <c r="AE30" i="38" s="1"/>
  <c r="AL31" i="38" s="1"/>
  <c r="AL35" i="38" s="1"/>
  <c r="N53" i="39"/>
  <c r="AB53" i="39" s="1"/>
  <c r="D34" i="38"/>
  <c r="V35" i="38" s="1"/>
  <c r="AB35" i="38" s="1"/>
  <c r="AC35" i="38" s="1"/>
  <c r="D23" i="39"/>
  <c r="Y23" i="39" s="1"/>
  <c r="N33" i="39"/>
  <c r="AJ37" i="39" s="1"/>
  <c r="AJ86" i="39" s="1"/>
  <c r="D24" i="38"/>
  <c r="V25" i="38" s="1"/>
  <c r="AB25" i="38" s="1"/>
  <c r="AE25" i="38" s="1"/>
  <c r="AL26" i="38" s="1"/>
  <c r="AL30" i="38" s="1"/>
  <c r="AB50" i="38"/>
  <c r="AE50" i="38" s="1"/>
  <c r="AL51" i="38" s="1"/>
  <c r="D33" i="39"/>
  <c r="N23" i="39"/>
  <c r="AB23" i="39" s="1"/>
  <c r="D14" i="38"/>
  <c r="V15" i="38" s="1"/>
  <c r="AB15" i="38" s="1"/>
  <c r="AE15" i="38" s="1"/>
  <c r="AL16" i="38" s="1"/>
  <c r="AL20" i="38" s="1"/>
  <c r="N43" i="39"/>
  <c r="AJ55" i="39" s="1"/>
  <c r="AJ88" i="39" s="1"/>
  <c r="K14" i="38"/>
  <c r="V20" i="38" s="1"/>
  <c r="AB20" i="38" s="1"/>
  <c r="AE20" i="38" s="1"/>
  <c r="AL21" i="38" s="1"/>
  <c r="AL25" i="38" s="1"/>
  <c r="AA48" i="38"/>
  <c r="U48" i="38"/>
  <c r="R101" i="63" l="1"/>
  <c r="G101" i="63"/>
  <c r="D11" i="64"/>
  <c r="AQ15" i="34"/>
  <c r="P50" i="25"/>
  <c r="AE88" i="25"/>
  <c r="AG88" i="25" s="1"/>
  <c r="AG23" i="39"/>
  <c r="AA47" i="38"/>
  <c r="U47" i="38"/>
  <c r="U51" i="38"/>
  <c r="AA52" i="38"/>
  <c r="AA46" i="38"/>
  <c r="AA54" i="38"/>
  <c r="AG12" i="39"/>
  <c r="AG11" i="39"/>
  <c r="U49" i="38"/>
  <c r="U53" i="38"/>
  <c r="AA51" i="38"/>
  <c r="U52" i="38"/>
  <c r="U46" i="38"/>
  <c r="AO56" i="38"/>
  <c r="AO66" i="38"/>
  <c r="AQ56" i="38"/>
  <c r="AQ66" i="38"/>
  <c r="AP56" i="38"/>
  <c r="AP66" i="38"/>
  <c r="AG35" i="39"/>
  <c r="AG24" i="39"/>
  <c r="AG25" i="39"/>
  <c r="AG36" i="39"/>
  <c r="K102" i="63"/>
  <c r="AJ28" i="39"/>
  <c r="AH33" i="39" s="1"/>
  <c r="AG47" i="39"/>
  <c r="L110" i="63"/>
  <c r="L96" i="25"/>
  <c r="AE86" i="25"/>
  <c r="AG86" i="25" s="1"/>
  <c r="AE80" i="25"/>
  <c r="AG80" i="25" s="1"/>
  <c r="AC97" i="25"/>
  <c r="AC74" i="25"/>
  <c r="AC95" i="25"/>
  <c r="AC94" i="25"/>
  <c r="AC79" i="25"/>
  <c r="AC81" i="25"/>
  <c r="AQ16" i="34"/>
  <c r="AQ76" i="34"/>
  <c r="AC87" i="25"/>
  <c r="AC84" i="25"/>
  <c r="AQ97" i="34"/>
  <c r="AC89" i="25"/>
  <c r="AQ78" i="34"/>
  <c r="AQ34" i="34"/>
  <c r="AC78" i="25"/>
  <c r="AQ32" i="34"/>
  <c r="AC80" i="25"/>
  <c r="AC93" i="25"/>
  <c r="AC98" i="25"/>
  <c r="AQ74" i="34"/>
  <c r="AC76" i="25"/>
  <c r="AQ92" i="34"/>
  <c r="AC75" i="25"/>
  <c r="AQ75" i="34"/>
  <c r="AC71" i="25"/>
  <c r="AQ94" i="34"/>
  <c r="AC96" i="25"/>
  <c r="AE74" i="25"/>
  <c r="AG74" i="25" s="1"/>
  <c r="AQ51" i="34"/>
  <c r="AE87" i="25"/>
  <c r="AG87" i="25" s="1"/>
  <c r="AC92" i="25"/>
  <c r="AC82" i="25"/>
  <c r="AC90" i="25"/>
  <c r="AE95" i="25"/>
  <c r="AG95" i="25" s="1"/>
  <c r="AC85" i="25"/>
  <c r="AC73" i="25"/>
  <c r="M120" i="63"/>
  <c r="P120" i="63"/>
  <c r="J101" i="63"/>
  <c r="M50" i="25"/>
  <c r="K101" i="63"/>
  <c r="N101" i="63"/>
  <c r="AE79" i="25"/>
  <c r="AG79" i="25" s="1"/>
  <c r="G100" i="63"/>
  <c r="P101" i="63"/>
  <c r="G108" i="63"/>
  <c r="AC69" i="25"/>
  <c r="AQ99" i="34"/>
  <c r="I100" i="63"/>
  <c r="AQ82" i="34"/>
  <c r="AC86" i="25"/>
  <c r="I101" i="63"/>
  <c r="L101" i="63"/>
  <c r="O101" i="63"/>
  <c r="H101" i="63"/>
  <c r="K100" i="63"/>
  <c r="Q101" i="63"/>
  <c r="AE73" i="25"/>
  <c r="AG73" i="25" s="1"/>
  <c r="L102" i="63"/>
  <c r="L100" i="63"/>
  <c r="S102" i="63"/>
  <c r="AQ24" i="34"/>
  <c r="H100" i="63"/>
  <c r="N100" i="63"/>
  <c r="S101" i="63"/>
  <c r="AQ37" i="34"/>
  <c r="AE81" i="25"/>
  <c r="AG81" i="25" s="1"/>
  <c r="J102" i="63"/>
  <c r="Q100" i="63"/>
  <c r="AQ81" i="34"/>
  <c r="J100" i="63"/>
  <c r="M101" i="63"/>
  <c r="R100" i="63"/>
  <c r="AK88" i="39"/>
  <c r="AL88" i="39" s="1"/>
  <c r="AM88" i="39" s="1"/>
  <c r="AN88" i="39" s="1"/>
  <c r="AS88" i="39" s="1"/>
  <c r="AK86" i="39"/>
  <c r="AL86" i="39" s="1"/>
  <c r="AM86" i="39" s="1"/>
  <c r="AN86" i="39" s="1"/>
  <c r="AS86" i="39" s="1"/>
  <c r="AE92" i="25"/>
  <c r="AG92" i="25" s="1"/>
  <c r="E92" i="25"/>
  <c r="I102" i="63"/>
  <c r="M100" i="63"/>
  <c r="N108" i="63"/>
  <c r="T52" i="38"/>
  <c r="L92" i="25"/>
  <c r="G110" i="63"/>
  <c r="AE76" i="25"/>
  <c r="AG76" i="25" s="1"/>
  <c r="P115" i="63"/>
  <c r="AQ73" i="34"/>
  <c r="AQ29" i="34"/>
  <c r="I110" i="63"/>
  <c r="G56" i="25"/>
  <c r="P102" i="63"/>
  <c r="O100" i="63"/>
  <c r="P51" i="25"/>
  <c r="J125" i="63"/>
  <c r="P125" i="63"/>
  <c r="AQ86" i="34"/>
  <c r="J108" i="63"/>
  <c r="Q115" i="63"/>
  <c r="G125" i="63"/>
  <c r="N125" i="63"/>
  <c r="L93" i="25"/>
  <c r="L90" i="25"/>
  <c r="AQ35" i="34"/>
  <c r="N109" i="63"/>
  <c r="O109" i="63"/>
  <c r="O125" i="63"/>
  <c r="J53" i="25"/>
  <c r="S108" i="63"/>
  <c r="AB92" i="25"/>
  <c r="N102" i="63"/>
  <c r="O102" i="63"/>
  <c r="H102" i="63"/>
  <c r="Q102" i="63"/>
  <c r="AB75" i="25"/>
  <c r="I109" i="63"/>
  <c r="I115" i="63"/>
  <c r="J115" i="63"/>
  <c r="M115" i="63"/>
  <c r="AQ45" i="34"/>
  <c r="S100" i="63"/>
  <c r="AB93" i="25"/>
  <c r="T47" i="38"/>
  <c r="M102" i="63"/>
  <c r="M52" i="25"/>
  <c r="AQ19" i="34"/>
  <c r="J50" i="25"/>
  <c r="AE91" i="25"/>
  <c r="AG91" i="25" s="1"/>
  <c r="R115" i="63"/>
  <c r="Q125" i="63"/>
  <c r="Z66" i="39"/>
  <c r="H115" i="63"/>
  <c r="L108" i="63"/>
  <c r="K115" i="63"/>
  <c r="AE67" i="25"/>
  <c r="AG67" i="25" s="1"/>
  <c r="I125" i="63"/>
  <c r="K108" i="63"/>
  <c r="L115" i="63"/>
  <c r="AE72" i="25"/>
  <c r="AG72" i="25" s="1"/>
  <c r="AQ26" i="34"/>
  <c r="AQ22" i="34"/>
  <c r="G109" i="63"/>
  <c r="J109" i="63"/>
  <c r="H125" i="63"/>
  <c r="K109" i="63"/>
  <c r="N115" i="63"/>
  <c r="O108" i="63"/>
  <c r="Q109" i="63"/>
  <c r="AQ104" i="34"/>
  <c r="H109" i="63"/>
  <c r="L109" i="63"/>
  <c r="K125" i="63"/>
  <c r="Q108" i="63"/>
  <c r="R109" i="63"/>
  <c r="S109" i="63"/>
  <c r="G115" i="63"/>
  <c r="I108" i="63"/>
  <c r="M109" i="63"/>
  <c r="L125" i="63"/>
  <c r="R108" i="63"/>
  <c r="O115" i="63"/>
  <c r="AQ77" i="34"/>
  <c r="AE96" i="25"/>
  <c r="AG96" i="25" s="1"/>
  <c r="T48" i="38"/>
  <c r="AB69" i="25"/>
  <c r="R102" i="63"/>
  <c r="T54" i="38"/>
  <c r="AE98" i="25"/>
  <c r="AC91" i="25"/>
  <c r="AQ52" i="34"/>
  <c r="L114" i="63"/>
  <c r="M59" i="25"/>
  <c r="AB70" i="25"/>
  <c r="AB98" i="25"/>
  <c r="AB87" i="25"/>
  <c r="AE75" i="25"/>
  <c r="AG75" i="25" s="1"/>
  <c r="AJ46" i="39"/>
  <c r="AJ87" i="39" s="1"/>
  <c r="N112" i="63"/>
  <c r="M57" i="25"/>
  <c r="AB91" i="25"/>
  <c r="M58" i="25"/>
  <c r="AB72" i="25"/>
  <c r="AQ41" i="34"/>
  <c r="AE93" i="25"/>
  <c r="AG93" i="25" s="1"/>
  <c r="AB89" i="25"/>
  <c r="V21" i="38"/>
  <c r="Y8" i="38" s="1"/>
  <c r="I114" i="63"/>
  <c r="N114" i="63"/>
  <c r="P114" i="63"/>
  <c r="AE71" i="25"/>
  <c r="AG71" i="25" s="1"/>
  <c r="AB84" i="25"/>
  <c r="H114" i="63"/>
  <c r="S114" i="63"/>
  <c r="AQ42" i="34"/>
  <c r="G114" i="63"/>
  <c r="AC70" i="25"/>
  <c r="AQ46" i="34"/>
  <c r="K114" i="63"/>
  <c r="AC72" i="25"/>
  <c r="P59" i="25"/>
  <c r="AB77" i="25"/>
  <c r="H108" i="63"/>
  <c r="M108" i="63"/>
  <c r="M125" i="63"/>
  <c r="R125" i="63"/>
  <c r="AE90" i="25"/>
  <c r="AG90" i="25" s="1"/>
  <c r="AJ19" i="39"/>
  <c r="AH23" i="39" s="1"/>
  <c r="AA66" i="39"/>
  <c r="AE68" i="25"/>
  <c r="AG68" i="25" s="1"/>
  <c r="G52" i="25"/>
  <c r="AQ27" i="34"/>
  <c r="K121" i="63"/>
  <c r="M53" i="25"/>
  <c r="I121" i="63"/>
  <c r="P129" i="63"/>
  <c r="S121" i="63"/>
  <c r="H121" i="63"/>
  <c r="O121" i="63"/>
  <c r="R129" i="63"/>
  <c r="G121" i="63"/>
  <c r="H104" i="63"/>
  <c r="K130" i="63"/>
  <c r="O130" i="63"/>
  <c r="K129" i="63"/>
  <c r="S40" i="29"/>
  <c r="AQ83" i="34"/>
  <c r="AE77" i="25"/>
  <c r="AG77" i="25" s="1"/>
  <c r="S28" i="29"/>
  <c r="AB79" i="25"/>
  <c r="I112" i="63"/>
  <c r="AC77" i="25"/>
  <c r="S34" i="29"/>
  <c r="G116" i="63"/>
  <c r="AC68" i="25"/>
  <c r="N126" i="63"/>
  <c r="AB68" i="25"/>
  <c r="I106" i="63"/>
  <c r="P112" i="63"/>
  <c r="O126" i="63"/>
  <c r="S116" i="63"/>
  <c r="L85" i="25"/>
  <c r="Q112" i="63"/>
  <c r="P126" i="63"/>
  <c r="AG38" i="39"/>
  <c r="J112" i="63"/>
  <c r="I126" i="63"/>
  <c r="L116" i="63"/>
  <c r="Q126" i="63"/>
  <c r="P106" i="63"/>
  <c r="AQ87" i="34"/>
  <c r="AB81" i="25"/>
  <c r="G126" i="63"/>
  <c r="G112" i="63"/>
  <c r="H112" i="63"/>
  <c r="J126" i="63"/>
  <c r="K116" i="63"/>
  <c r="K106" i="63"/>
  <c r="R126" i="63"/>
  <c r="O106" i="63"/>
  <c r="G57" i="25"/>
  <c r="H126" i="63"/>
  <c r="M116" i="63"/>
  <c r="L106" i="63"/>
  <c r="O116" i="63"/>
  <c r="AB43" i="39"/>
  <c r="I116" i="63"/>
  <c r="K126" i="63"/>
  <c r="N116" i="63"/>
  <c r="P116" i="63"/>
  <c r="AQ30" i="34"/>
  <c r="AH59" i="39"/>
  <c r="J116" i="63"/>
  <c r="L112" i="63"/>
  <c r="L126" i="63"/>
  <c r="Q116" i="63"/>
  <c r="AQ84" i="34"/>
  <c r="H116" i="63"/>
  <c r="K112" i="63"/>
  <c r="M126" i="63"/>
  <c r="O112" i="63"/>
  <c r="V22" i="38"/>
  <c r="Z5" i="38" s="1"/>
  <c r="AG17" i="39"/>
  <c r="AE69" i="25"/>
  <c r="AG69" i="25" s="1"/>
  <c r="V34" i="38"/>
  <c r="U34" i="38" s="1"/>
  <c r="I103" i="63"/>
  <c r="T46" i="38"/>
  <c r="AC20" i="38"/>
  <c r="AQ17" i="34"/>
  <c r="AG28" i="39"/>
  <c r="V24" i="38"/>
  <c r="AA24" i="38" s="1"/>
  <c r="AG37" i="39"/>
  <c r="L91" i="25"/>
  <c r="AQ44" i="34"/>
  <c r="V23" i="38"/>
  <c r="AA23" i="38" s="1"/>
  <c r="AB66" i="39"/>
  <c r="J114" i="63"/>
  <c r="M107" i="63"/>
  <c r="M114" i="63"/>
  <c r="K120" i="63"/>
  <c r="O114" i="63"/>
  <c r="P119" i="63"/>
  <c r="R106" i="63"/>
  <c r="AB74" i="25"/>
  <c r="V44" i="38"/>
  <c r="AA44" i="38" s="1"/>
  <c r="AG34" i="39"/>
  <c r="V32" i="38"/>
  <c r="Y9" i="38" s="1"/>
  <c r="AG29" i="39"/>
  <c r="J106" i="63"/>
  <c r="M112" i="63"/>
  <c r="M106" i="63"/>
  <c r="R112" i="63"/>
  <c r="R114" i="63"/>
  <c r="Q106" i="63"/>
  <c r="S106" i="63"/>
  <c r="AQ95" i="34"/>
  <c r="AQ93" i="34"/>
  <c r="AQ85" i="34"/>
  <c r="AQ90" i="34"/>
  <c r="AG13" i="39"/>
  <c r="G106" i="63"/>
  <c r="H106" i="63"/>
  <c r="S113" i="63"/>
  <c r="AG44" i="39"/>
  <c r="E88" i="25"/>
  <c r="E89" i="25"/>
  <c r="J56" i="25"/>
  <c r="AE35" i="38"/>
  <c r="AL36" i="38" s="1"/>
  <c r="AL40" i="38" s="1"/>
  <c r="V17" i="38"/>
  <c r="AQ20" i="34"/>
  <c r="AC30" i="38"/>
  <c r="Y43" i="39"/>
  <c r="AG20" i="39"/>
  <c r="AG26" i="39"/>
  <c r="V36" i="38"/>
  <c r="Y11" i="38" s="1"/>
  <c r="Y33" i="39"/>
  <c r="P113" i="63"/>
  <c r="Q119" i="63"/>
  <c r="Q120" i="63"/>
  <c r="AB67" i="25"/>
  <c r="V38" i="38"/>
  <c r="AA38" i="38" s="1"/>
  <c r="J51" i="25"/>
  <c r="AQ50" i="34"/>
  <c r="AQ40" i="34"/>
  <c r="AG16" i="39"/>
  <c r="V33" i="38"/>
  <c r="AG43" i="39"/>
  <c r="I123" i="63"/>
  <c r="H124" i="63"/>
  <c r="Q113" i="63"/>
  <c r="AE89" i="25"/>
  <c r="AG89" i="25" s="1"/>
  <c r="AQ25" i="34"/>
  <c r="AE85" i="25"/>
  <c r="AG85" i="25" s="1"/>
  <c r="L94" i="25"/>
  <c r="AG39" i="39"/>
  <c r="V37" i="38"/>
  <c r="AG27" i="39"/>
  <c r="J52" i="25"/>
  <c r="AC15" i="38"/>
  <c r="M51" i="25"/>
  <c r="AB76" i="25"/>
  <c r="T51" i="38"/>
  <c r="AQ21" i="34"/>
  <c r="AG19" i="39"/>
  <c r="AG42" i="39"/>
  <c r="V31" i="38"/>
  <c r="L107" i="63"/>
  <c r="AE78" i="25"/>
  <c r="AG78" i="25" s="1"/>
  <c r="AC50" i="38"/>
  <c r="V18" i="38"/>
  <c r="V39" i="38"/>
  <c r="U39" i="38" s="1"/>
  <c r="AQ103" i="34"/>
  <c r="M127" i="63"/>
  <c r="L105" i="63"/>
  <c r="X15" i="38"/>
  <c r="V16" i="38"/>
  <c r="Y6" i="38" s="1"/>
  <c r="V19" i="38"/>
  <c r="T19" i="38" s="1"/>
  <c r="J118" i="63"/>
  <c r="G51" i="25"/>
  <c r="J122" i="63"/>
  <c r="S128" i="63"/>
  <c r="AB85" i="25"/>
  <c r="R131" i="63"/>
  <c r="J58" i="25"/>
  <c r="AB86" i="25"/>
  <c r="AB94" i="25"/>
  <c r="AB78" i="25"/>
  <c r="J121" i="63"/>
  <c r="I131" i="63"/>
  <c r="I118" i="63"/>
  <c r="I105" i="63"/>
  <c r="L127" i="63"/>
  <c r="P121" i="63"/>
  <c r="P130" i="63"/>
  <c r="Q129" i="63"/>
  <c r="AB97" i="25"/>
  <c r="E87" i="25"/>
  <c r="G58" i="25"/>
  <c r="G50" i="25"/>
  <c r="T49" i="38"/>
  <c r="AB73" i="25"/>
  <c r="G131" i="63"/>
  <c r="H131" i="63"/>
  <c r="H118" i="63"/>
  <c r="I129" i="63"/>
  <c r="L121" i="63"/>
  <c r="M131" i="63"/>
  <c r="N127" i="63"/>
  <c r="L130" i="63"/>
  <c r="M105" i="63"/>
  <c r="L129" i="63"/>
  <c r="P104" i="63"/>
  <c r="G53" i="25"/>
  <c r="AQ47" i="34"/>
  <c r="G129" i="63"/>
  <c r="J127" i="63"/>
  <c r="I130" i="63"/>
  <c r="J129" i="63"/>
  <c r="M121" i="63"/>
  <c r="N131" i="63"/>
  <c r="L104" i="63"/>
  <c r="M130" i="63"/>
  <c r="N105" i="63"/>
  <c r="M129" i="63"/>
  <c r="O104" i="63"/>
  <c r="S105" i="63"/>
  <c r="AQ101" i="34"/>
  <c r="AE94" i="25"/>
  <c r="AG94" i="25" s="1"/>
  <c r="AB95" i="25"/>
  <c r="G104" i="63"/>
  <c r="H127" i="63"/>
  <c r="J130" i="63"/>
  <c r="H129" i="63"/>
  <c r="J128" i="63"/>
  <c r="N121" i="63"/>
  <c r="M104" i="63"/>
  <c r="N130" i="63"/>
  <c r="N129" i="63"/>
  <c r="P118" i="63"/>
  <c r="S127" i="63"/>
  <c r="AQ80" i="34"/>
  <c r="J131" i="63"/>
  <c r="L131" i="63"/>
  <c r="AQ49" i="34"/>
  <c r="AE83" i="25"/>
  <c r="AG83" i="25" s="1"/>
  <c r="G59" i="25"/>
  <c r="AQ39" i="34"/>
  <c r="AK79" i="39"/>
  <c r="AG67" i="39" s="1"/>
  <c r="G118" i="63"/>
  <c r="I104" i="63"/>
  <c r="H130" i="63"/>
  <c r="H128" i="63"/>
  <c r="K104" i="63"/>
  <c r="P131" i="63"/>
  <c r="Q118" i="63"/>
  <c r="AB83" i="25"/>
  <c r="AB88" i="25"/>
  <c r="V26" i="38"/>
  <c r="M56" i="25"/>
  <c r="G130" i="63"/>
  <c r="I122" i="63"/>
  <c r="J104" i="63"/>
  <c r="N104" i="63"/>
  <c r="Q131" i="63"/>
  <c r="R118" i="63"/>
  <c r="S104" i="63"/>
  <c r="AQ100" i="34"/>
  <c r="AG53" i="39"/>
  <c r="AC45" i="38"/>
  <c r="X35" i="38"/>
  <c r="AG49" i="39"/>
  <c r="AG22" i="39"/>
  <c r="AG55" i="39"/>
  <c r="V29" i="38"/>
  <c r="T29" i="38" s="1"/>
  <c r="AG32" i="39"/>
  <c r="AB33" i="39"/>
  <c r="AG15" i="39"/>
  <c r="G124" i="63"/>
  <c r="H103" i="63"/>
  <c r="I113" i="63"/>
  <c r="J123" i="63"/>
  <c r="H110" i="63"/>
  <c r="I120" i="63"/>
  <c r="N107" i="63"/>
  <c r="N110" i="63"/>
  <c r="N120" i="63"/>
  <c r="R113" i="63"/>
  <c r="R119" i="63"/>
  <c r="R120" i="63"/>
  <c r="S103" i="63"/>
  <c r="AQ89" i="34"/>
  <c r="AQ98" i="34"/>
  <c r="P53" i="25"/>
  <c r="X25" i="38"/>
  <c r="AC88" i="25"/>
  <c r="AB82" i="25"/>
  <c r="E94" i="25"/>
  <c r="AE82" i="25"/>
  <c r="AG82" i="25" s="1"/>
  <c r="J57" i="25"/>
  <c r="AH41" i="39"/>
  <c r="AC40" i="38"/>
  <c r="AC25" i="38"/>
  <c r="V43" i="38"/>
  <c r="AA43" i="38" s="1"/>
  <c r="AG56" i="39"/>
  <c r="AG40" i="39"/>
  <c r="AG45" i="39"/>
  <c r="AG58" i="39"/>
  <c r="AG48" i="39"/>
  <c r="G122" i="63"/>
  <c r="G123" i="63"/>
  <c r="I117" i="63"/>
  <c r="H122" i="63"/>
  <c r="J113" i="63"/>
  <c r="H123" i="63"/>
  <c r="J105" i="63"/>
  <c r="J120" i="63"/>
  <c r="M103" i="63"/>
  <c r="K117" i="63"/>
  <c r="K122" i="63"/>
  <c r="K113" i="63"/>
  <c r="K118" i="63"/>
  <c r="K123" i="63"/>
  <c r="K119" i="63"/>
  <c r="L124" i="63"/>
  <c r="L128" i="63"/>
  <c r="K111" i="63"/>
  <c r="O103" i="63"/>
  <c r="O117" i="63"/>
  <c r="O122" i="63"/>
  <c r="O127" i="63"/>
  <c r="O123" i="63"/>
  <c r="O107" i="63"/>
  <c r="O105" i="63"/>
  <c r="P110" i="63"/>
  <c r="O124" i="63"/>
  <c r="O128" i="63"/>
  <c r="O111" i="63"/>
  <c r="S107" i="63"/>
  <c r="S118" i="63"/>
  <c r="S119" i="63"/>
  <c r="S120" i="63"/>
  <c r="AC83" i="25"/>
  <c r="E90" i="25"/>
  <c r="E93" i="25"/>
  <c r="P58" i="25"/>
  <c r="AB90" i="25"/>
  <c r="E86" i="25"/>
  <c r="J59" i="25"/>
  <c r="AH40" i="39"/>
  <c r="AG54" i="39"/>
  <c r="AG18" i="39"/>
  <c r="AG57" i="39"/>
  <c r="AG33" i="39"/>
  <c r="AF66" i="39"/>
  <c r="G103" i="63"/>
  <c r="G107" i="63"/>
  <c r="J117" i="63"/>
  <c r="H113" i="63"/>
  <c r="H105" i="63"/>
  <c r="H120" i="63"/>
  <c r="K103" i="63"/>
  <c r="L117" i="63"/>
  <c r="L122" i="63"/>
  <c r="L113" i="63"/>
  <c r="L118" i="63"/>
  <c r="L123" i="63"/>
  <c r="L119" i="63"/>
  <c r="K124" i="63"/>
  <c r="K128" i="63"/>
  <c r="L111" i="63"/>
  <c r="P103" i="63"/>
  <c r="P117" i="63"/>
  <c r="P122" i="63"/>
  <c r="P127" i="63"/>
  <c r="P123" i="63"/>
  <c r="P107" i="63"/>
  <c r="P105" i="63"/>
  <c r="Q110" i="63"/>
  <c r="P124" i="63"/>
  <c r="P128" i="63"/>
  <c r="P111" i="63"/>
  <c r="S131" i="63"/>
  <c r="S110" i="63"/>
  <c r="S111" i="63"/>
  <c r="AQ96" i="34"/>
  <c r="AQ91" i="34"/>
  <c r="J103" i="63"/>
  <c r="J110" i="63"/>
  <c r="M110" i="63"/>
  <c r="AE70" i="25"/>
  <c r="AG70" i="25" s="1"/>
  <c r="AB96" i="25"/>
  <c r="P57" i="25"/>
  <c r="E85" i="25"/>
  <c r="AQ31" i="34"/>
  <c r="AH39" i="39"/>
  <c r="AH60" i="39"/>
  <c r="AG14" i="39"/>
  <c r="AG46" i="39"/>
  <c r="V42" i="38"/>
  <c r="AG52" i="39"/>
  <c r="V27" i="38"/>
  <c r="AJ64" i="39"/>
  <c r="AH69" i="39" s="1"/>
  <c r="G127" i="63"/>
  <c r="G128" i="63"/>
  <c r="I107" i="63"/>
  <c r="H117" i="63"/>
  <c r="I119" i="63"/>
  <c r="I111" i="63"/>
  <c r="L103" i="63"/>
  <c r="M117" i="63"/>
  <c r="M122" i="63"/>
  <c r="M113" i="63"/>
  <c r="M118" i="63"/>
  <c r="M123" i="63"/>
  <c r="M119" i="63"/>
  <c r="M124" i="63"/>
  <c r="M128" i="63"/>
  <c r="M111" i="63"/>
  <c r="Q121" i="63"/>
  <c r="Q103" i="63"/>
  <c r="Q117" i="63"/>
  <c r="R122" i="63"/>
  <c r="Q127" i="63"/>
  <c r="Q104" i="63"/>
  <c r="Q130" i="63"/>
  <c r="Q123" i="63"/>
  <c r="Q107" i="63"/>
  <c r="Q105" i="63"/>
  <c r="O110" i="63"/>
  <c r="R124" i="63"/>
  <c r="R128" i="63"/>
  <c r="Q111" i="63"/>
  <c r="S117" i="63"/>
  <c r="S130" i="63"/>
  <c r="S129" i="63"/>
  <c r="G117" i="63"/>
  <c r="AB71" i="25"/>
  <c r="T53" i="38"/>
  <c r="AQ36" i="34"/>
  <c r="E91" i="25"/>
  <c r="P56" i="25"/>
  <c r="AE97" i="25"/>
  <c r="AG97" i="25" s="1"/>
  <c r="AH42" i="39"/>
  <c r="AH57" i="39"/>
  <c r="AG21" i="39"/>
  <c r="AG51" i="39"/>
  <c r="V41" i="38"/>
  <c r="AC66" i="39"/>
  <c r="AJ73" i="39"/>
  <c r="AH77" i="39" s="1"/>
  <c r="AG31" i="39"/>
  <c r="AJ10" i="39"/>
  <c r="AH14" i="39" s="1"/>
  <c r="G113" i="63"/>
  <c r="G105" i="63"/>
  <c r="G120" i="63"/>
  <c r="J107" i="63"/>
  <c r="J119" i="63"/>
  <c r="I124" i="63"/>
  <c r="J111" i="63"/>
  <c r="N103" i="63"/>
  <c r="N117" i="63"/>
  <c r="N122" i="63"/>
  <c r="N113" i="63"/>
  <c r="N118" i="63"/>
  <c r="N123" i="63"/>
  <c r="N119" i="63"/>
  <c r="N124" i="63"/>
  <c r="N128" i="63"/>
  <c r="N111" i="63"/>
  <c r="Q122" i="63"/>
  <c r="R127" i="63"/>
  <c r="R123" i="63"/>
  <c r="R107" i="63"/>
  <c r="R105" i="63"/>
  <c r="R110" i="63"/>
  <c r="Q124" i="63"/>
  <c r="Q128" i="63"/>
  <c r="R111" i="63"/>
  <c r="S124" i="63"/>
  <c r="AQ79" i="34"/>
  <c r="AQ88" i="34"/>
  <c r="AQ102" i="34"/>
  <c r="AG66" i="39"/>
  <c r="P52" i="25"/>
  <c r="AE84" i="25"/>
  <c r="AG84" i="25" s="1"/>
  <c r="AB80" i="25"/>
  <c r="AH58" i="39"/>
  <c r="AG50" i="39"/>
  <c r="AG41" i="39"/>
  <c r="AG30" i="39"/>
  <c r="V28" i="38"/>
  <c r="T28" i="38" s="1"/>
  <c r="AE66" i="39"/>
  <c r="G119" i="63"/>
  <c r="G111" i="63"/>
  <c r="H107" i="63"/>
  <c r="I127" i="63"/>
  <c r="H119" i="63"/>
  <c r="K131" i="63"/>
  <c r="L120" i="63"/>
  <c r="Y7" i="38" l="1"/>
  <c r="Y5" i="38"/>
  <c r="AH9" i="38"/>
  <c r="AL65" i="38" s="1"/>
  <c r="Z11" i="38"/>
  <c r="Z12" i="38"/>
  <c r="Y12" i="38"/>
  <c r="D13" i="25"/>
  <c r="J43" i="25" s="1"/>
  <c r="Z10" i="38"/>
  <c r="U18" i="38"/>
  <c r="Z8" i="38"/>
  <c r="Z7" i="38"/>
  <c r="Z9" i="38"/>
  <c r="Z6" i="38"/>
  <c r="Y10" i="38"/>
  <c r="T27" i="38"/>
  <c r="T37" i="38"/>
  <c r="U33" i="38"/>
  <c r="AA41" i="38"/>
  <c r="AK78" i="34"/>
  <c r="AA21" i="38"/>
  <c r="U31" i="38"/>
  <c r="AA26" i="38"/>
  <c r="T16" i="38"/>
  <c r="Y45" i="38"/>
  <c r="Z45" i="38"/>
  <c r="AE72" i="39"/>
  <c r="G92" i="63"/>
  <c r="AC72" i="39"/>
  <c r="AE73" i="39"/>
  <c r="AJ85" i="39"/>
  <c r="AK85" i="39" s="1"/>
  <c r="AH31" i="39"/>
  <c r="AH30" i="39"/>
  <c r="AH32" i="39"/>
  <c r="Y11" i="39"/>
  <c r="AD14" i="39" s="1"/>
  <c r="AD16" i="39" s="1"/>
  <c r="AG98" i="25"/>
  <c r="AR88" i="39"/>
  <c r="AP88" i="39"/>
  <c r="AP86" i="39"/>
  <c r="AQ86" i="39"/>
  <c r="AR86" i="39"/>
  <c r="AQ88" i="39"/>
  <c r="AS53" i="39"/>
  <c r="AE74" i="39"/>
  <c r="AE78" i="39" s="1"/>
  <c r="AB43" i="38" s="1"/>
  <c r="AU53" i="39"/>
  <c r="AE75" i="39"/>
  <c r="AE79" i="39" s="1"/>
  <c r="AB44" i="38" s="1"/>
  <c r="AK42" i="39"/>
  <c r="AC74" i="39"/>
  <c r="AJ39" i="39"/>
  <c r="AC75" i="39"/>
  <c r="AC79" i="39" s="1"/>
  <c r="AB34" i="38" s="1"/>
  <c r="AC73" i="39"/>
  <c r="AC54" i="38"/>
  <c r="AC53" i="38"/>
  <c r="U22" i="38"/>
  <c r="T24" i="38"/>
  <c r="AH49" i="39"/>
  <c r="AH48" i="39"/>
  <c r="AH51" i="39"/>
  <c r="AH50" i="39"/>
  <c r="AJ59" i="39"/>
  <c r="T33" i="38"/>
  <c r="AA33" i="38"/>
  <c r="AK59" i="39"/>
  <c r="U21" i="38"/>
  <c r="U24" i="38"/>
  <c r="AA27" i="38"/>
  <c r="T21" i="38"/>
  <c r="U27" i="38"/>
  <c r="AJ60" i="39"/>
  <c r="Q50" i="39" s="1"/>
  <c r="AK57" i="39"/>
  <c r="AJ57" i="39"/>
  <c r="T34" i="38"/>
  <c r="U19" i="38"/>
  <c r="U44" i="38"/>
  <c r="T44" i="38"/>
  <c r="AA37" i="38"/>
  <c r="U37" i="38"/>
  <c r="AH21" i="39"/>
  <c r="AK21" i="39" s="1"/>
  <c r="AJ84" i="39"/>
  <c r="AK84" i="39" s="1"/>
  <c r="AH24" i="39"/>
  <c r="AH22" i="39"/>
  <c r="T36" i="38"/>
  <c r="U32" i="38"/>
  <c r="AA36" i="38"/>
  <c r="T75" i="46"/>
  <c r="I119" i="46" s="1"/>
  <c r="AA34" i="38"/>
  <c r="T17" i="38"/>
  <c r="AA32" i="38"/>
  <c r="T32" i="38"/>
  <c r="T18" i="38"/>
  <c r="AA31" i="38"/>
  <c r="U38" i="38"/>
  <c r="U36" i="38"/>
  <c r="AA19" i="38"/>
  <c r="AA17" i="38"/>
  <c r="U17" i="38"/>
  <c r="T38" i="38"/>
  <c r="T22" i="38"/>
  <c r="AA22" i="38"/>
  <c r="T23" i="38"/>
  <c r="U23" i="38"/>
  <c r="AK39" i="39"/>
  <c r="AK41" i="39"/>
  <c r="AA29" i="38"/>
  <c r="AU35" i="39"/>
  <c r="U29" i="38"/>
  <c r="AJ41" i="39"/>
  <c r="AA18" i="38"/>
  <c r="U16" i="38"/>
  <c r="AA39" i="38"/>
  <c r="AV53" i="39"/>
  <c r="T31" i="38"/>
  <c r="AJ42" i="39"/>
  <c r="S38" i="39" s="1"/>
  <c r="AK60" i="39"/>
  <c r="AA16" i="38"/>
  <c r="T39" i="38"/>
  <c r="AH67" i="39"/>
  <c r="AV35" i="39"/>
  <c r="AS35" i="39"/>
  <c r="T26" i="38"/>
  <c r="AH66" i="39"/>
  <c r="U26" i="38"/>
  <c r="AJ89" i="39"/>
  <c r="AK89" i="39" s="1"/>
  <c r="T72" i="46"/>
  <c r="H119" i="46" s="1"/>
  <c r="AJ90" i="39"/>
  <c r="AK90" i="39" s="1"/>
  <c r="AH78" i="39"/>
  <c r="T74" i="46"/>
  <c r="T73" i="46"/>
  <c r="R92" i="63"/>
  <c r="U42" i="38"/>
  <c r="T41" i="38"/>
  <c r="AA42" i="38"/>
  <c r="AJ83" i="39"/>
  <c r="AK83" i="39" s="1"/>
  <c r="AP83" i="39" s="1"/>
  <c r="AJ40" i="39"/>
  <c r="Q38" i="39" s="1"/>
  <c r="AK58" i="39"/>
  <c r="U41" i="38"/>
  <c r="AH12" i="39"/>
  <c r="AH15" i="39"/>
  <c r="Q92" i="63"/>
  <c r="P92" i="63"/>
  <c r="K92" i="63"/>
  <c r="H92" i="63"/>
  <c r="T42" i="38"/>
  <c r="I92" i="63"/>
  <c r="M92" i="63"/>
  <c r="O92" i="63"/>
  <c r="N92" i="63"/>
  <c r="AT53" i="39"/>
  <c r="S92" i="63"/>
  <c r="L92" i="63"/>
  <c r="J92" i="63"/>
  <c r="AH13" i="39"/>
  <c r="AJ58" i="39"/>
  <c r="Q49" i="39" s="1"/>
  <c r="U28" i="38"/>
  <c r="AH68" i="39"/>
  <c r="AK40" i="39"/>
  <c r="AT35" i="39"/>
  <c r="T43" i="38"/>
  <c r="AH75" i="39"/>
  <c r="AJ75" i="39" s="1"/>
  <c r="AH76" i="39"/>
  <c r="AA28" i="38"/>
  <c r="U43" i="38"/>
  <c r="AJ69" i="39"/>
  <c r="G60" i="39" s="1"/>
  <c r="AJ77" i="39"/>
  <c r="AJ33" i="39"/>
  <c r="AJ23" i="39"/>
  <c r="S28" i="39" s="1"/>
  <c r="AJ14" i="39"/>
  <c r="I30" i="39" s="1"/>
  <c r="AK69" i="39"/>
  <c r="AV62" i="39"/>
  <c r="AK87" i="39"/>
  <c r="AK14" i="39"/>
  <c r="AU8" i="39"/>
  <c r="AK23" i="39"/>
  <c r="AK33" i="39"/>
  <c r="AU17" i="39"/>
  <c r="AK77" i="39"/>
  <c r="AU71" i="39"/>
  <c r="AV26" i="39"/>
  <c r="AE81" i="34" l="1"/>
  <c r="AC81" i="34"/>
  <c r="AL80" i="34"/>
  <c r="AC78" i="34"/>
  <c r="AC79" i="34"/>
  <c r="AK81" i="34"/>
  <c r="Q48" i="39"/>
  <c r="S50" i="39"/>
  <c r="S48" i="39"/>
  <c r="S49" i="39"/>
  <c r="S45" i="39"/>
  <c r="Q47" i="39"/>
  <c r="S46" i="39"/>
  <c r="S47" i="39"/>
  <c r="Q46" i="39"/>
  <c r="Q45" i="39"/>
  <c r="Q35" i="39"/>
  <c r="Q37" i="39"/>
  <c r="Q36" i="39"/>
  <c r="S37" i="39"/>
  <c r="S36" i="39"/>
  <c r="S35" i="39"/>
  <c r="I36" i="39"/>
  <c r="G38" i="39"/>
  <c r="G26" i="39"/>
  <c r="I27" i="39"/>
  <c r="AC52" i="38"/>
  <c r="AC51" i="38"/>
  <c r="Z25" i="38"/>
  <c r="Q58" i="39"/>
  <c r="S60" i="39"/>
  <c r="S58" i="39"/>
  <c r="S59" i="39"/>
  <c r="Q56" i="39"/>
  <c r="Q55" i="39"/>
  <c r="AF74" i="39"/>
  <c r="AF78" i="39" s="1"/>
  <c r="AB48" i="38" s="1"/>
  <c r="G57" i="39"/>
  <c r="I55" i="39"/>
  <c r="AF75" i="39"/>
  <c r="AF79" i="39" s="1"/>
  <c r="AB49" i="38" s="1"/>
  <c r="Q40" i="39"/>
  <c r="S39" i="39"/>
  <c r="AC29" i="38"/>
  <c r="AC23" i="38"/>
  <c r="AC19" i="38"/>
  <c r="AG72" i="39"/>
  <c r="AG75" i="39"/>
  <c r="AG79" i="39" s="1"/>
  <c r="AB54" i="38" s="1"/>
  <c r="K53" i="38" s="1"/>
  <c r="AG73" i="39"/>
  <c r="AF73" i="39"/>
  <c r="AA73" i="39"/>
  <c r="AE76" i="39"/>
  <c r="AB41" i="38" s="1"/>
  <c r="AC76" i="39"/>
  <c r="AB31" i="38" s="1"/>
  <c r="AE77" i="39"/>
  <c r="AB42" i="38" s="1"/>
  <c r="AD74" i="39"/>
  <c r="AD78" i="39" s="1"/>
  <c r="AB38" i="38" s="1"/>
  <c r="AB74" i="39"/>
  <c r="AB78" i="39" s="1"/>
  <c r="AB28" i="38" s="1"/>
  <c r="AB73" i="39"/>
  <c r="AB75" i="39"/>
  <c r="AB79" i="39" s="1"/>
  <c r="AB29" i="38" s="1"/>
  <c r="Z75" i="39"/>
  <c r="Z79" i="39" s="1"/>
  <c r="AB19" i="38" s="1"/>
  <c r="AB72" i="39"/>
  <c r="Z72" i="39"/>
  <c r="AL74" i="34"/>
  <c r="AK74" i="34"/>
  <c r="AM74" i="34" s="1"/>
  <c r="AK32" i="39"/>
  <c r="AJ32" i="39"/>
  <c r="I37" i="39" s="1"/>
  <c r="AU26" i="39"/>
  <c r="AS26" i="39"/>
  <c r="AK30" i="39"/>
  <c r="AJ30" i="39"/>
  <c r="G37" i="39" s="1"/>
  <c r="AT26" i="39"/>
  <c r="AK31" i="39"/>
  <c r="AJ31" i="39"/>
  <c r="I38" i="39" s="1"/>
  <c r="AK77" i="34"/>
  <c r="Z15" i="38"/>
  <c r="AW88" i="39"/>
  <c r="AI59" i="39" s="1"/>
  <c r="AZ59" i="39" s="1"/>
  <c r="AV86" i="39"/>
  <c r="AI40" i="39" s="1"/>
  <c r="AZ40" i="39" s="1"/>
  <c r="AV88" i="39"/>
  <c r="AI58" i="39" s="1"/>
  <c r="AZ58" i="39" s="1"/>
  <c r="S40" i="39"/>
  <c r="AX88" i="39"/>
  <c r="AI60" i="39" s="1"/>
  <c r="AZ60" i="39" s="1"/>
  <c r="AU88" i="39"/>
  <c r="AI57" i="39" s="1"/>
  <c r="AZ57" i="39" s="1"/>
  <c r="AL75" i="34"/>
  <c r="AL77" i="34"/>
  <c r="AK80" i="34"/>
  <c r="AC77" i="39"/>
  <c r="AB32" i="38" s="1"/>
  <c r="AC78" i="39"/>
  <c r="AB33" i="38" s="1"/>
  <c r="AL81" i="34"/>
  <c r="AK76" i="34"/>
  <c r="AL76" i="34"/>
  <c r="AL78" i="34"/>
  <c r="AU86" i="39"/>
  <c r="AI39" i="39" s="1"/>
  <c r="AZ39" i="39" s="1"/>
  <c r="AW86" i="39"/>
  <c r="AI41" i="39" s="1"/>
  <c r="AZ41" i="39" s="1"/>
  <c r="AX86" i="39"/>
  <c r="AI42" i="39" s="1"/>
  <c r="AZ42" i="39" s="1"/>
  <c r="AL35" i="39"/>
  <c r="AJ24" i="39"/>
  <c r="S27" i="39" s="1"/>
  <c r="AA74" i="39"/>
  <c r="AA78" i="39" s="1"/>
  <c r="AB23" i="38" s="1"/>
  <c r="AA75" i="39"/>
  <c r="AA79" i="39" s="1"/>
  <c r="AB24" i="38" s="1"/>
  <c r="AJ48" i="39"/>
  <c r="AD75" i="39"/>
  <c r="AD79" i="39" s="1"/>
  <c r="AB39" i="38" s="1"/>
  <c r="AJ49" i="39"/>
  <c r="G49" i="39" s="1"/>
  <c r="AD73" i="39"/>
  <c r="AG16" i="38"/>
  <c r="Z74" i="39"/>
  <c r="AG74" i="39"/>
  <c r="AG78" i="39" s="1"/>
  <c r="AB53" i="38" s="1"/>
  <c r="K51" i="38" s="1"/>
  <c r="AV44" i="39"/>
  <c r="AD72" i="39"/>
  <c r="AK67" i="39"/>
  <c r="AF72" i="39"/>
  <c r="AV8" i="39"/>
  <c r="Z73" i="39"/>
  <c r="AA72" i="39"/>
  <c r="AT44" i="39"/>
  <c r="AK49" i="39"/>
  <c r="AN53" i="39"/>
  <c r="AJ21" i="39"/>
  <c r="Q28" i="39" s="1"/>
  <c r="AK51" i="39"/>
  <c r="AC49" i="38"/>
  <c r="AC48" i="38"/>
  <c r="AC44" i="38"/>
  <c r="K43" i="38" s="1"/>
  <c r="AC43" i="38"/>
  <c r="K41" i="38" s="1"/>
  <c r="AJ50" i="39"/>
  <c r="AC39" i="38"/>
  <c r="AC34" i="38"/>
  <c r="K33" i="38" s="1"/>
  <c r="AK48" i="39"/>
  <c r="AV71" i="39"/>
  <c r="AS44" i="39"/>
  <c r="AC28" i="38"/>
  <c r="AO53" i="39"/>
  <c r="AC24" i="38"/>
  <c r="AK50" i="39"/>
  <c r="AU44" i="39"/>
  <c r="AJ51" i="39"/>
  <c r="AS8" i="39"/>
  <c r="AE18" i="38"/>
  <c r="AJ78" i="39"/>
  <c r="AE23" i="38"/>
  <c r="AV17" i="39"/>
  <c r="AK24" i="39"/>
  <c r="AS17" i="39"/>
  <c r="AO35" i="39"/>
  <c r="AK78" i="39"/>
  <c r="AN35" i="39"/>
  <c r="AT17" i="39"/>
  <c r="AK22" i="39"/>
  <c r="AJ22" i="39"/>
  <c r="AG36" i="38"/>
  <c r="AL53" i="39"/>
  <c r="AF17" i="38"/>
  <c r="AS62" i="39"/>
  <c r="AK66" i="39"/>
  <c r="AJ66" i="39"/>
  <c r="I60" i="39" s="1"/>
  <c r="AH43" i="38"/>
  <c r="AG46" i="38"/>
  <c r="AH37" i="38"/>
  <c r="AH22" i="38"/>
  <c r="AG41" i="38"/>
  <c r="AT8" i="39"/>
  <c r="AH21" i="38"/>
  <c r="AG22" i="38"/>
  <c r="AK13" i="39"/>
  <c r="AF18" i="38"/>
  <c r="Y15" i="38"/>
  <c r="Y35" i="38"/>
  <c r="AJ12" i="39"/>
  <c r="I29" i="39" s="1"/>
  <c r="AG18" i="38"/>
  <c r="AH16" i="38"/>
  <c r="AF46" i="38"/>
  <c r="AE44" i="38"/>
  <c r="AK12" i="39"/>
  <c r="AH46" i="38"/>
  <c r="AH42" i="38"/>
  <c r="AE42" i="38"/>
  <c r="AG39" i="38"/>
  <c r="AF27" i="38"/>
  <c r="AG24" i="38"/>
  <c r="AH41" i="38"/>
  <c r="AF16" i="38"/>
  <c r="AH18" i="38"/>
  <c r="AG27" i="38"/>
  <c r="AF42" i="38"/>
  <c r="AH36" i="38"/>
  <c r="AH34" i="38"/>
  <c r="AG44" i="38"/>
  <c r="AK79" i="34"/>
  <c r="AK75" i="34"/>
  <c r="AJ67" i="39"/>
  <c r="AT62" i="39"/>
  <c r="AH47" i="38"/>
  <c r="AG48" i="38"/>
  <c r="Y25" i="38"/>
  <c r="Z35" i="38"/>
  <c r="J119" i="46"/>
  <c r="AF54" i="38"/>
  <c r="AJ68" i="39"/>
  <c r="AG49" i="38"/>
  <c r="AU62" i="39"/>
  <c r="T69" i="46"/>
  <c r="AK68" i="39"/>
  <c r="AF49" i="38"/>
  <c r="AF48" i="38"/>
  <c r="AF34" i="38"/>
  <c r="AG34" i="38"/>
  <c r="AG28" i="38"/>
  <c r="AG37" i="38"/>
  <c r="AF31" i="38"/>
  <c r="AH54" i="38"/>
  <c r="AE34" i="38"/>
  <c r="AH19" i="38"/>
  <c r="AM35" i="39"/>
  <c r="AE29" i="38"/>
  <c r="AJ76" i="39"/>
  <c r="AG19" i="38"/>
  <c r="AK15" i="39"/>
  <c r="AH49" i="38"/>
  <c r="AH28" i="38"/>
  <c r="Q39" i="39"/>
  <c r="AG21" i="38"/>
  <c r="AH31" i="38"/>
  <c r="AH33" i="38"/>
  <c r="AG54" i="38"/>
  <c r="AH23" i="38"/>
  <c r="AE43" i="38"/>
  <c r="AH29" i="38"/>
  <c r="AF21" i="38"/>
  <c r="AG33" i="38"/>
  <c r="AG26" i="38"/>
  <c r="AF28" i="38"/>
  <c r="AF38" i="38"/>
  <c r="AF22" i="38"/>
  <c r="AF41" i="38"/>
  <c r="AF32" i="38"/>
  <c r="AT71" i="39"/>
  <c r="AJ15" i="39"/>
  <c r="AH27" i="38"/>
  <c r="AF24" i="38"/>
  <c r="AF37" i="38"/>
  <c r="AF44" i="38"/>
  <c r="AH32" i="38"/>
  <c r="AF43" i="38"/>
  <c r="AH44" i="38"/>
  <c r="AK76" i="39"/>
  <c r="AM53" i="39"/>
  <c r="AG42" i="38"/>
  <c r="AH26" i="38"/>
  <c r="AG43" i="38"/>
  <c r="AH52" i="38"/>
  <c r="AH38" i="38"/>
  <c r="AF23" i="38"/>
  <c r="AF36" i="38"/>
  <c r="AF33" i="38"/>
  <c r="AH24" i="38"/>
  <c r="AG17" i="38"/>
  <c r="AF39" i="38"/>
  <c r="AF29" i="38"/>
  <c r="AG47" i="38"/>
  <c r="AF47" i="38"/>
  <c r="AG23" i="38"/>
  <c r="AH39" i="38"/>
  <c r="AG29" i="38"/>
  <c r="AG38" i="38"/>
  <c r="AF51" i="38"/>
  <c r="AH48" i="38"/>
  <c r="AF26" i="38"/>
  <c r="AG31" i="38"/>
  <c r="AG32" i="38"/>
  <c r="AH17" i="38"/>
  <c r="AF19" i="38"/>
  <c r="AJ13" i="39"/>
  <c r="AG51" i="38"/>
  <c r="AS71" i="39"/>
  <c r="AF53" i="38"/>
  <c r="AL79" i="34"/>
  <c r="AG52" i="38"/>
  <c r="AF52" i="38"/>
  <c r="AH53" i="38"/>
  <c r="AG53" i="38"/>
  <c r="AH51" i="38"/>
  <c r="AK75" i="39"/>
  <c r="AL71" i="39"/>
  <c r="AE51" i="38"/>
  <c r="AE53" i="38"/>
  <c r="AN71" i="39"/>
  <c r="AE49" i="38"/>
  <c r="AO62" i="39"/>
  <c r="G39" i="39"/>
  <c r="AO26" i="39"/>
  <c r="S30" i="39"/>
  <c r="Q26" i="39"/>
  <c r="AN17" i="39"/>
  <c r="AN8" i="39"/>
  <c r="AL84" i="39"/>
  <c r="AP84" i="39"/>
  <c r="AL85" i="39"/>
  <c r="AP85" i="39"/>
  <c r="AL87" i="39"/>
  <c r="AP87" i="39"/>
  <c r="AL89" i="39"/>
  <c r="AP89" i="39"/>
  <c r="AL90" i="39"/>
  <c r="AP90" i="39"/>
  <c r="AL83" i="39"/>
  <c r="D51" i="38" l="1"/>
  <c r="D53" i="38"/>
  <c r="AE32" i="38"/>
  <c r="D23" i="38"/>
  <c r="AE31" i="38"/>
  <c r="K21" i="38"/>
  <c r="AE33" i="38"/>
  <c r="D33" i="38"/>
  <c r="D31" i="38"/>
  <c r="D43" i="38"/>
  <c r="K23" i="38"/>
  <c r="AE41" i="38"/>
  <c r="AG81" i="34"/>
  <c r="AC80" i="34"/>
  <c r="AI80" i="34"/>
  <c r="AI81" i="34"/>
  <c r="AE80" i="34"/>
  <c r="AG80" i="34"/>
  <c r="AE144" i="34"/>
  <c r="AE145" i="34"/>
  <c r="AE140" i="34"/>
  <c r="AE142" i="34"/>
  <c r="AE141" i="34"/>
  <c r="AE143" i="34"/>
  <c r="AC76" i="34"/>
  <c r="AI74" i="34"/>
  <c r="AE74" i="34"/>
  <c r="AO74" i="34" s="1"/>
  <c r="AG75" i="34"/>
  <c r="AC75" i="34"/>
  <c r="AM75" i="34" s="1"/>
  <c r="AC87" i="34" s="1"/>
  <c r="AG87" i="34" s="1"/>
  <c r="AE75" i="34"/>
  <c r="AO75" i="34" s="1"/>
  <c r="AE87" i="34" s="1"/>
  <c r="AI87" i="34" s="1"/>
  <c r="AO87" i="34" s="1"/>
  <c r="AG77" i="34"/>
  <c r="AG74" i="34"/>
  <c r="AG78" i="34"/>
  <c r="AI79" i="34"/>
  <c r="AG79" i="34"/>
  <c r="AI78" i="34"/>
  <c r="AC18" i="38"/>
  <c r="AI77" i="34"/>
  <c r="AI76" i="34"/>
  <c r="AG76" i="34"/>
  <c r="AI75" i="34"/>
  <c r="AC74" i="34"/>
  <c r="AO81" i="34"/>
  <c r="AM81" i="34"/>
  <c r="AC93" i="34" s="1"/>
  <c r="AG93" i="34" s="1"/>
  <c r="AM93" i="34" s="1"/>
  <c r="AE77" i="34"/>
  <c r="AO77" i="34" s="1"/>
  <c r="AE79" i="34"/>
  <c r="AO79" i="34" s="1"/>
  <c r="AE78" i="34"/>
  <c r="AO78" i="34" s="1"/>
  <c r="AC77" i="34"/>
  <c r="AM77" i="34" s="1"/>
  <c r="AC89" i="34" s="1"/>
  <c r="AG89" i="34" s="1"/>
  <c r="AE76" i="34"/>
  <c r="AO76" i="34" s="1"/>
  <c r="AE88" i="34" s="1"/>
  <c r="AI88" i="34" s="1"/>
  <c r="AL88" i="34" s="1"/>
  <c r="X57" i="38"/>
  <c r="Z60" i="38" s="1"/>
  <c r="AA59" i="38" s="1"/>
  <c r="Q27" i="39"/>
  <c r="G48" i="39"/>
  <c r="I50" i="39"/>
  <c r="AN44" i="39"/>
  <c r="I49" i="39"/>
  <c r="I47" i="39"/>
  <c r="G50" i="39"/>
  <c r="G47" i="39"/>
  <c r="G28" i="39"/>
  <c r="G30" i="39"/>
  <c r="I28" i="39"/>
  <c r="G29" i="39"/>
  <c r="G25" i="39"/>
  <c r="G27" i="39"/>
  <c r="I26" i="39"/>
  <c r="I25" i="39"/>
  <c r="AM80" i="34"/>
  <c r="AM76" i="34"/>
  <c r="AO80" i="34"/>
  <c r="AM78" i="34"/>
  <c r="AC47" i="38"/>
  <c r="AC46" i="38"/>
  <c r="AC36" i="38"/>
  <c r="AC16" i="38"/>
  <c r="AG77" i="39"/>
  <c r="AB52" i="38" s="1"/>
  <c r="K49" i="38" s="1"/>
  <c r="AF76" i="39"/>
  <c r="AB46" i="38" s="1"/>
  <c r="AM79" i="34"/>
  <c r="AC38" i="38"/>
  <c r="D41" i="38" s="1"/>
  <c r="AF77" i="39"/>
  <c r="AB47" i="38" s="1"/>
  <c r="AG76" i="39"/>
  <c r="AB51" i="38" s="1"/>
  <c r="K47" i="38" s="1"/>
  <c r="Q57" i="39"/>
  <c r="Q60" i="39"/>
  <c r="S57" i="39"/>
  <c r="Q59" i="39"/>
  <c r="S55" i="39"/>
  <c r="S56" i="39"/>
  <c r="I58" i="39"/>
  <c r="I59" i="39"/>
  <c r="I57" i="39"/>
  <c r="G59" i="39"/>
  <c r="G56" i="39"/>
  <c r="G58" i="39"/>
  <c r="I56" i="39"/>
  <c r="G55" i="39"/>
  <c r="AC31" i="38"/>
  <c r="K27" i="38" s="1"/>
  <c r="AC32" i="38"/>
  <c r="K29" i="38" s="1"/>
  <c r="AC17" i="38"/>
  <c r="I35" i="39"/>
  <c r="I40" i="39"/>
  <c r="G36" i="39"/>
  <c r="G35" i="39"/>
  <c r="AA77" i="39"/>
  <c r="AB22" i="38" s="1"/>
  <c r="AB77" i="39"/>
  <c r="AB27" i="38" s="1"/>
  <c r="AB76" i="39"/>
  <c r="AB26" i="38" s="1"/>
  <c r="Z76" i="39"/>
  <c r="AB16" i="38" s="1"/>
  <c r="T71" i="46"/>
  <c r="O53" i="46"/>
  <c r="AN26" i="39"/>
  <c r="AE28" i="38"/>
  <c r="AE26" i="38"/>
  <c r="AL26" i="39"/>
  <c r="I39" i="39"/>
  <c r="AM26" i="39"/>
  <c r="G40" i="39"/>
  <c r="AE27" i="38"/>
  <c r="T110" i="46"/>
  <c r="T108" i="46"/>
  <c r="AD76" i="39"/>
  <c r="AB36" i="38" s="1"/>
  <c r="AC33" i="38"/>
  <c r="K31" i="38" s="1"/>
  <c r="AD77" i="39"/>
  <c r="AB37" i="38" s="1"/>
  <c r="AA76" i="39"/>
  <c r="AB21" i="38" s="1"/>
  <c r="Z78" i="39"/>
  <c r="AB18" i="38" s="1"/>
  <c r="Z77" i="39"/>
  <c r="AB17" i="38" s="1"/>
  <c r="S26" i="39"/>
  <c r="AE24" i="38"/>
  <c r="Q29" i="39"/>
  <c r="AO17" i="39"/>
  <c r="AL44" i="39"/>
  <c r="G46" i="39"/>
  <c r="AE36" i="38"/>
  <c r="AE37" i="38"/>
  <c r="I46" i="39"/>
  <c r="AM44" i="39"/>
  <c r="I45" i="39"/>
  <c r="AO44" i="39"/>
  <c r="AE21" i="38"/>
  <c r="Q25" i="39"/>
  <c r="S29" i="39"/>
  <c r="AL17" i="39"/>
  <c r="I48" i="39"/>
  <c r="G45" i="39"/>
  <c r="AE38" i="38"/>
  <c r="AE39" i="38"/>
  <c r="AE54" i="38"/>
  <c r="AO71" i="39"/>
  <c r="AE16" i="38"/>
  <c r="AL8" i="39"/>
  <c r="S25" i="39"/>
  <c r="AM17" i="39"/>
  <c r="AE22" i="38"/>
  <c r="Q30" i="39"/>
  <c r="AE46" i="38"/>
  <c r="AL62" i="39"/>
  <c r="AM62" i="39"/>
  <c r="AE47" i="38"/>
  <c r="T83" i="46"/>
  <c r="T59" i="38"/>
  <c r="T85" i="46"/>
  <c r="T70" i="46"/>
  <c r="T84" i="46"/>
  <c r="T82" i="46"/>
  <c r="AE48" i="38"/>
  <c r="AM8" i="39"/>
  <c r="AE17" i="38"/>
  <c r="AN62" i="39"/>
  <c r="AM71" i="39"/>
  <c r="AE52" i="38"/>
  <c r="AE19" i="38"/>
  <c r="AO8" i="39"/>
  <c r="AU89" i="39"/>
  <c r="AM89" i="39"/>
  <c r="AQ89" i="39"/>
  <c r="AM87" i="39"/>
  <c r="AQ87" i="39"/>
  <c r="AM85" i="39"/>
  <c r="AQ85" i="39"/>
  <c r="AM90" i="39"/>
  <c r="AQ90" i="39"/>
  <c r="AU90" i="39" s="1"/>
  <c r="AI75" i="39" s="1"/>
  <c r="AZ75" i="39" s="1"/>
  <c r="AM84" i="39"/>
  <c r="AQ84" i="39"/>
  <c r="AM83" i="39"/>
  <c r="AQ83" i="39"/>
  <c r="D49" i="38" l="1"/>
  <c r="D47" i="38"/>
  <c r="D17" i="38"/>
  <c r="D19" i="38"/>
  <c r="D21" i="38"/>
  <c r="D37" i="38"/>
  <c r="AC86" i="34"/>
  <c r="AG86" i="34" s="1"/>
  <c r="AM86" i="34" s="1"/>
  <c r="AC15" i="34" s="1"/>
  <c r="G15" i="34" s="1"/>
  <c r="AO88" i="34"/>
  <c r="AE19" i="34" s="1"/>
  <c r="O19" i="34" s="1"/>
  <c r="AC91" i="34"/>
  <c r="AG91" i="34" s="1"/>
  <c r="AM91" i="34" s="1"/>
  <c r="AC25" i="34" s="1"/>
  <c r="G25" i="34" s="1"/>
  <c r="AE89" i="34"/>
  <c r="AI89" i="34" s="1"/>
  <c r="AL89" i="34" s="1"/>
  <c r="AE86" i="34"/>
  <c r="AI86" i="34" s="1"/>
  <c r="AO86" i="34" s="1"/>
  <c r="AC90" i="34"/>
  <c r="AG90" i="34" s="1"/>
  <c r="AM90" i="34" s="1"/>
  <c r="AC23" i="34" s="1"/>
  <c r="G23" i="34" s="1"/>
  <c r="AE93" i="34"/>
  <c r="AI93" i="34" s="1"/>
  <c r="AO93" i="34" s="1"/>
  <c r="AE92" i="34"/>
  <c r="AI92" i="34" s="1"/>
  <c r="AL92" i="34" s="1"/>
  <c r="AC88" i="34"/>
  <c r="AG88" i="34" s="1"/>
  <c r="AM88" i="34" s="1"/>
  <c r="AC19" i="34" s="1"/>
  <c r="G19" i="34" s="1"/>
  <c r="AE90" i="34"/>
  <c r="AI90" i="34" s="1"/>
  <c r="AO90" i="34" s="1"/>
  <c r="AE91" i="34"/>
  <c r="AI91" i="34" s="1"/>
  <c r="AL91" i="34" s="1"/>
  <c r="AC92" i="34"/>
  <c r="AG92" i="34" s="1"/>
  <c r="AM92" i="34" s="1"/>
  <c r="AC29" i="34"/>
  <c r="AM89" i="34"/>
  <c r="AC21" i="34" s="1"/>
  <c r="G21" i="34" s="1"/>
  <c r="AE17" i="34"/>
  <c r="O17" i="34" s="1"/>
  <c r="AM87" i="34"/>
  <c r="AC17" i="34" s="1"/>
  <c r="G17" i="34" s="1"/>
  <c r="T76" i="46"/>
  <c r="Z70" i="46" s="1"/>
  <c r="T109" i="46"/>
  <c r="T105" i="46"/>
  <c r="X108" i="46" s="1"/>
  <c r="O59" i="46"/>
  <c r="AC37" i="38"/>
  <c r="D39" i="38" s="1"/>
  <c r="AC41" i="38"/>
  <c r="K37" i="38" s="1"/>
  <c r="AC42" i="38"/>
  <c r="K39" i="38" s="1"/>
  <c r="AC26" i="38"/>
  <c r="D27" i="38" s="1"/>
  <c r="AC27" i="38"/>
  <c r="D29" i="38" s="1"/>
  <c r="AC22" i="38"/>
  <c r="K19" i="38" s="1"/>
  <c r="AC21" i="38"/>
  <c r="K17" i="38" s="1"/>
  <c r="O54" i="46"/>
  <c r="T79" i="46"/>
  <c r="AI66" i="39"/>
  <c r="AV90" i="39"/>
  <c r="AI76" i="39" s="1"/>
  <c r="AZ76" i="39" s="1"/>
  <c r="AN90" i="39"/>
  <c r="AS90" i="39" s="1"/>
  <c r="AR90" i="39"/>
  <c r="AN85" i="39"/>
  <c r="AS85" i="39" s="1"/>
  <c r="AR85" i="39"/>
  <c r="AN87" i="39"/>
  <c r="AS87" i="39" s="1"/>
  <c r="AR87" i="39"/>
  <c r="AX87" i="39" s="1"/>
  <c r="AI51" i="39" s="1"/>
  <c r="AN84" i="39"/>
  <c r="AS84" i="39" s="1"/>
  <c r="AR84" i="39"/>
  <c r="AN89" i="39"/>
  <c r="AS89" i="39" s="1"/>
  <c r="AR89" i="39"/>
  <c r="AN83" i="39"/>
  <c r="AS83" i="39" s="1"/>
  <c r="AR83" i="39"/>
  <c r="AU83" i="39" s="1"/>
  <c r="AI12" i="39" s="1"/>
  <c r="AZ12" i="39" s="1"/>
  <c r="AO92" i="34" l="1"/>
  <c r="AE27" i="34" s="1"/>
  <c r="AC27" i="34"/>
  <c r="G27" i="34" s="1"/>
  <c r="G29" i="34"/>
  <c r="AT11" i="34"/>
  <c r="AS11" i="34" s="1"/>
  <c r="AT26" i="34"/>
  <c r="AS26" i="34" s="1"/>
  <c r="AT14" i="34"/>
  <c r="AS14" i="34" s="1"/>
  <c r="AT24" i="34"/>
  <c r="AS24" i="34" s="1"/>
  <c r="AT12" i="34"/>
  <c r="AS12" i="34" s="1"/>
  <c r="AT22" i="34"/>
  <c r="AS22" i="34" s="1"/>
  <c r="AT27" i="34"/>
  <c r="AS27" i="34" s="1"/>
  <c r="AT25" i="34"/>
  <c r="AS25" i="34" s="1"/>
  <c r="AT23" i="34"/>
  <c r="AS23" i="34" s="1"/>
  <c r="AT21" i="34"/>
  <c r="AS21" i="34" s="1"/>
  <c r="AT19" i="34"/>
  <c r="AS19" i="34" s="1"/>
  <c r="AT17" i="34"/>
  <c r="AS17" i="34" s="1"/>
  <c r="AT15" i="34"/>
  <c r="AS15" i="34" s="1"/>
  <c r="AT13" i="34"/>
  <c r="AS13" i="34" s="1"/>
  <c r="AT18" i="34"/>
  <c r="AS18" i="34" s="1"/>
  <c r="AT16" i="34"/>
  <c r="AS16" i="34" s="1"/>
  <c r="AT20" i="34"/>
  <c r="AS20" i="34" s="1"/>
  <c r="AE29" i="34"/>
  <c r="AO91" i="34"/>
  <c r="AE25" i="34" s="1"/>
  <c r="O25" i="34" s="1"/>
  <c r="AO89" i="34"/>
  <c r="AE21" i="34" s="1"/>
  <c r="O21" i="34" s="1"/>
  <c r="AE23" i="34"/>
  <c r="O23" i="34" s="1"/>
  <c r="AE15" i="34"/>
  <c r="O15" i="34" s="1"/>
  <c r="AU84" i="39"/>
  <c r="AI21" i="39" s="1"/>
  <c r="AZ21" i="39" s="1"/>
  <c r="AU85" i="39"/>
  <c r="AI30" i="39" s="1"/>
  <c r="AZ30" i="39" s="1"/>
  <c r="AV83" i="39"/>
  <c r="AI13" i="39" s="1"/>
  <c r="AZ13" i="39" s="1"/>
  <c r="AZ66" i="39"/>
  <c r="AI46" i="38" s="1"/>
  <c r="AZ51" i="39"/>
  <c r="Z71" i="46"/>
  <c r="AI32" i="38"/>
  <c r="AW90" i="39"/>
  <c r="AI77" i="39" s="1"/>
  <c r="AZ77" i="39" s="1"/>
  <c r="AW87" i="39"/>
  <c r="AI50" i="39" s="1"/>
  <c r="AI43" i="38"/>
  <c r="AI44" i="38"/>
  <c r="AW89" i="39"/>
  <c r="AI68" i="39" s="1"/>
  <c r="AV84" i="39"/>
  <c r="AI22" i="39" s="1"/>
  <c r="AW84" i="39"/>
  <c r="AI23" i="39" s="1"/>
  <c r="AU87" i="39"/>
  <c r="AI48" i="39" s="1"/>
  <c r="AV89" i="39"/>
  <c r="AI67" i="39" s="1"/>
  <c r="AW85" i="39"/>
  <c r="AI32" i="39" s="1"/>
  <c r="K119" i="46"/>
  <c r="B131" i="46" s="1"/>
  <c r="T80" i="46"/>
  <c r="T81" i="46"/>
  <c r="X107" i="46"/>
  <c r="T107" i="46" s="1"/>
  <c r="T106" i="46"/>
  <c r="AV85" i="39"/>
  <c r="AI31" i="39" s="1"/>
  <c r="AZ31" i="39" s="1"/>
  <c r="AW83" i="39"/>
  <c r="AI14" i="39" s="1"/>
  <c r="AI31" i="38"/>
  <c r="AI51" i="38"/>
  <c r="AI52" i="38"/>
  <c r="AV87" i="39"/>
  <c r="AX83" i="39"/>
  <c r="AX84" i="39"/>
  <c r="AX90" i="39"/>
  <c r="AI78" i="39" s="1"/>
  <c r="AZ78" i="39" s="1"/>
  <c r="AX89" i="39"/>
  <c r="AX85" i="39"/>
  <c r="Q84" i="29"/>
  <c r="P94" i="41" s="1"/>
  <c r="Q83" i="29"/>
  <c r="P93" i="41" s="1"/>
  <c r="AI17" i="38" l="1"/>
  <c r="AI21" i="38"/>
  <c r="AI26" i="38"/>
  <c r="AI39" i="38"/>
  <c r="AZ26" i="34"/>
  <c r="AY26" i="34" s="1"/>
  <c r="AZ27" i="34"/>
  <c r="AY27" i="34" s="1"/>
  <c r="AZ24" i="34"/>
  <c r="AY24" i="34" s="1"/>
  <c r="AZ25" i="34"/>
  <c r="AY25" i="34" s="1"/>
  <c r="AZ11" i="34"/>
  <c r="AY11" i="34" s="1"/>
  <c r="AZ23" i="34"/>
  <c r="AY23" i="34" s="1"/>
  <c r="AZ20" i="34"/>
  <c r="AY20" i="34" s="1"/>
  <c r="AZ22" i="34"/>
  <c r="AY22" i="34" s="1"/>
  <c r="AZ21" i="34"/>
  <c r="AY21" i="34" s="1"/>
  <c r="AZ19" i="34"/>
  <c r="AY19" i="34" s="1"/>
  <c r="AZ13" i="34"/>
  <c r="AY13" i="34" s="1"/>
  <c r="AZ18" i="34"/>
  <c r="AY18" i="34" s="1"/>
  <c r="AZ12" i="34"/>
  <c r="AY12" i="34" s="1"/>
  <c r="AZ17" i="34"/>
  <c r="AY17" i="34" s="1"/>
  <c r="AZ15" i="34"/>
  <c r="AY15" i="34" s="1"/>
  <c r="AZ16" i="34"/>
  <c r="AY16" i="34" s="1"/>
  <c r="AZ14" i="34"/>
  <c r="AY14" i="34" s="1"/>
  <c r="O29" i="34"/>
  <c r="O27" i="34"/>
  <c r="AV11" i="34"/>
  <c r="AU11" i="34" s="1"/>
  <c r="AV18" i="34"/>
  <c r="AU18" i="34" s="1"/>
  <c r="AV12" i="34"/>
  <c r="AU12" i="34" s="1"/>
  <c r="AV16" i="34"/>
  <c r="AU16" i="34" s="1"/>
  <c r="AV14" i="34"/>
  <c r="AU14" i="34" s="1"/>
  <c r="AV27" i="34"/>
  <c r="AU27" i="34" s="1"/>
  <c r="AV25" i="34"/>
  <c r="AU25" i="34" s="1"/>
  <c r="AV23" i="34"/>
  <c r="AU23" i="34" s="1"/>
  <c r="AV21" i="34"/>
  <c r="AU21" i="34" s="1"/>
  <c r="AV19" i="34"/>
  <c r="AU19" i="34" s="1"/>
  <c r="AV17" i="34"/>
  <c r="AU17" i="34" s="1"/>
  <c r="AV15" i="34"/>
  <c r="AU15" i="34" s="1"/>
  <c r="AV13" i="34"/>
  <c r="AU13" i="34" s="1"/>
  <c r="AV22" i="34"/>
  <c r="AU22" i="34" s="1"/>
  <c r="AV20" i="34"/>
  <c r="AU20" i="34" s="1"/>
  <c r="AV24" i="34"/>
  <c r="AU24" i="34" s="1"/>
  <c r="AV26" i="34"/>
  <c r="AU26" i="34" s="1"/>
  <c r="AX27" i="34"/>
  <c r="AW27" i="34" s="1"/>
  <c r="AX25" i="34"/>
  <c r="AW25" i="34" s="1"/>
  <c r="AX23" i="34"/>
  <c r="AW23" i="34" s="1"/>
  <c r="AX21" i="34"/>
  <c r="AW21" i="34" s="1"/>
  <c r="AX19" i="34"/>
  <c r="AW19" i="34" s="1"/>
  <c r="AX17" i="34"/>
  <c r="AW17" i="34" s="1"/>
  <c r="AX15" i="34"/>
  <c r="AW15" i="34" s="1"/>
  <c r="AX13" i="34"/>
  <c r="AW13" i="34" s="1"/>
  <c r="AX26" i="34"/>
  <c r="AW26" i="34" s="1"/>
  <c r="AX24" i="34"/>
  <c r="AW24" i="34" s="1"/>
  <c r="AX22" i="34"/>
  <c r="AW22" i="34" s="1"/>
  <c r="AX20" i="34"/>
  <c r="AW20" i="34" s="1"/>
  <c r="AX18" i="34"/>
  <c r="AW18" i="34" s="1"/>
  <c r="AX16" i="34"/>
  <c r="AW16" i="34" s="1"/>
  <c r="AX14" i="34"/>
  <c r="AW14" i="34" s="1"/>
  <c r="AX12" i="34"/>
  <c r="AW12" i="34" s="1"/>
  <c r="AX11" i="34"/>
  <c r="AW11" i="34" s="1"/>
  <c r="AZ67" i="39"/>
  <c r="AI47" i="38" s="1"/>
  <c r="AZ68" i="39"/>
  <c r="AI48" i="38" s="1"/>
  <c r="AZ50" i="39"/>
  <c r="AI38" i="38" s="1"/>
  <c r="AZ48" i="39"/>
  <c r="AI36" i="38" s="1"/>
  <c r="AZ32" i="39"/>
  <c r="AI28" i="38" s="1"/>
  <c r="AZ23" i="39"/>
  <c r="AI23" i="38" s="1"/>
  <c r="AZ22" i="39"/>
  <c r="AI22" i="38" s="1"/>
  <c r="AZ14" i="39"/>
  <c r="AI18" i="38" s="1"/>
  <c r="T86" i="46"/>
  <c r="Q82" i="29"/>
  <c r="P92" i="41" s="1"/>
  <c r="T111" i="46"/>
  <c r="K123" i="46" s="1"/>
  <c r="I132" i="46" s="1"/>
  <c r="M132" i="46" s="1"/>
  <c r="U107" i="46"/>
  <c r="AO59" i="34"/>
  <c r="AJ162" i="34" s="1"/>
  <c r="T100" i="46"/>
  <c r="AI53" i="38"/>
  <c r="AI69" i="39"/>
  <c r="AI41" i="38"/>
  <c r="AI49" i="39"/>
  <c r="BA60" i="39"/>
  <c r="AI33" i="38"/>
  <c r="AI33" i="39"/>
  <c r="AI24" i="39"/>
  <c r="AI27" i="38"/>
  <c r="AI15" i="39"/>
  <c r="AI16" i="38"/>
  <c r="AD44" i="38" l="1"/>
  <c r="AZ69" i="39"/>
  <c r="AI49" i="38" s="1"/>
  <c r="AZ49" i="39"/>
  <c r="AI37" i="38" s="1"/>
  <c r="AZ33" i="39"/>
  <c r="BA30" i="39" s="1"/>
  <c r="AD26" i="38" s="1"/>
  <c r="AZ24" i="39"/>
  <c r="BA21" i="39" s="1"/>
  <c r="AD21" i="38" s="1"/>
  <c r="AZ15" i="39"/>
  <c r="AI19" i="38" s="1"/>
  <c r="Z114" i="46"/>
  <c r="H123" i="46"/>
  <c r="I123" i="46"/>
  <c r="Z106" i="46"/>
  <c r="Z107" i="46" s="1"/>
  <c r="G123" i="46"/>
  <c r="Y112" i="46"/>
  <c r="Z105" i="46"/>
  <c r="Z116" i="46"/>
  <c r="Z115" i="46"/>
  <c r="G120" i="46"/>
  <c r="Z80" i="46"/>
  <c r="Z81" i="46" s="1"/>
  <c r="Z79" i="46"/>
  <c r="Z87" i="46"/>
  <c r="H120" i="46"/>
  <c r="K120" i="46"/>
  <c r="B132" i="46" s="1"/>
  <c r="J120" i="46"/>
  <c r="I120" i="46"/>
  <c r="Q85" i="29"/>
  <c r="P95" i="41" s="1"/>
  <c r="J123" i="46"/>
  <c r="AP59" i="34"/>
  <c r="T99" i="46"/>
  <c r="BA78" i="39"/>
  <c r="AD54" i="38" s="1"/>
  <c r="AI54" i="38"/>
  <c r="BA75" i="39"/>
  <c r="AD51" i="38" s="1"/>
  <c r="BA76" i="39"/>
  <c r="AD52" i="38" s="1"/>
  <c r="BA77" i="39"/>
  <c r="AD53" i="38" s="1"/>
  <c r="BA58" i="39"/>
  <c r="AD42" i="38" s="1"/>
  <c r="AI42" i="38"/>
  <c r="BA59" i="39"/>
  <c r="AD43" i="38" s="1"/>
  <c r="BA57" i="39"/>
  <c r="AD41" i="38" s="1"/>
  <c r="BA42" i="39"/>
  <c r="AD34" i="38" s="1"/>
  <c r="AI34" i="38"/>
  <c r="BA39" i="39"/>
  <c r="AD31" i="38" s="1"/>
  <c r="BA40" i="39"/>
  <c r="AD32" i="38" s="1"/>
  <c r="BA41" i="39"/>
  <c r="AD33" i="38" s="1"/>
  <c r="BA14" i="39" l="1"/>
  <c r="AD18" i="38" s="1"/>
  <c r="BA31" i="39"/>
  <c r="AD27" i="38" s="1"/>
  <c r="BA12" i="39"/>
  <c r="AD16" i="38" s="1"/>
  <c r="BA66" i="39"/>
  <c r="AD46" i="38" s="1"/>
  <c r="BA68" i="39"/>
  <c r="AD48" i="38" s="1"/>
  <c r="BA69" i="39"/>
  <c r="AD49" i="38" s="1"/>
  <c r="BA67" i="39"/>
  <c r="AD47" i="38" s="1"/>
  <c r="BA22" i="39"/>
  <c r="AD22" i="38" s="1"/>
  <c r="BA24" i="39"/>
  <c r="AD24" i="38" s="1"/>
  <c r="BA23" i="39"/>
  <c r="AD23" i="38" s="1"/>
  <c r="AI24" i="38"/>
  <c r="BA49" i="39"/>
  <c r="AD37" i="38" s="1"/>
  <c r="BA48" i="39"/>
  <c r="AD36" i="38" s="1"/>
  <c r="BA51" i="39"/>
  <c r="AD39" i="38" s="1"/>
  <c r="BA50" i="39"/>
  <c r="AD38" i="38" s="1"/>
  <c r="AI29" i="38"/>
  <c r="BA33" i="39"/>
  <c r="AD29" i="38" s="1"/>
  <c r="BA32" i="39"/>
  <c r="AD28" i="38" s="1"/>
  <c r="BA13" i="39"/>
  <c r="AD17" i="38" s="1"/>
  <c r="BA15" i="39"/>
  <c r="AD19" i="38" s="1"/>
  <c r="G125" i="46"/>
  <c r="C2" i="29"/>
  <c r="Q81" i="29"/>
  <c r="T101" i="46"/>
  <c r="T102" i="46" s="1"/>
  <c r="AR152" i="34"/>
  <c r="AQ54" i="38"/>
  <c r="AN54" i="38"/>
  <c r="AO53" i="38"/>
  <c r="AN53" i="38"/>
  <c r="AQ53" i="38"/>
  <c r="AP51" i="38"/>
  <c r="AO52" i="38"/>
  <c r="AJ53" i="38"/>
  <c r="AN52" i="38"/>
  <c r="AJ52" i="38"/>
  <c r="AJ51" i="38"/>
  <c r="AO54" i="38"/>
  <c r="AP54" i="38"/>
  <c r="AP52" i="38"/>
  <c r="AQ51" i="38"/>
  <c r="AJ54" i="38"/>
  <c r="AN51" i="38"/>
  <c r="AO51" i="38"/>
  <c r="AQ52" i="38"/>
  <c r="AP53" i="38"/>
  <c r="AP44" i="38"/>
  <c r="AO44" i="38"/>
  <c r="AJ41" i="38"/>
  <c r="AQ43" i="38"/>
  <c r="AJ42" i="38"/>
  <c r="AP43" i="38"/>
  <c r="AJ44" i="38"/>
  <c r="AN41" i="38"/>
  <c r="AJ43" i="38"/>
  <c r="AN43" i="38"/>
  <c r="AN44" i="38"/>
  <c r="AN42" i="38"/>
  <c r="AQ42" i="38"/>
  <c r="AP41" i="38"/>
  <c r="AP42" i="38"/>
  <c r="AO41" i="38"/>
  <c r="AO42" i="38"/>
  <c r="AQ41" i="38"/>
  <c r="AO43" i="38"/>
  <c r="AQ44" i="38"/>
  <c r="AN33" i="38"/>
  <c r="AP33" i="38"/>
  <c r="AP32" i="38"/>
  <c r="AQ32" i="38"/>
  <c r="AN32" i="38"/>
  <c r="AJ34" i="38"/>
  <c r="AP31" i="38"/>
  <c r="AO31" i="38"/>
  <c r="AO34" i="38"/>
  <c r="AN31" i="38"/>
  <c r="AQ31" i="38"/>
  <c r="AQ33" i="38"/>
  <c r="AJ33" i="38"/>
  <c r="AJ32" i="38"/>
  <c r="AN34" i="38"/>
  <c r="AP34" i="38"/>
  <c r="AO33" i="38"/>
  <c r="AJ31" i="38"/>
  <c r="AQ34" i="38"/>
  <c r="AO32" i="38"/>
  <c r="AN26" i="38" l="1"/>
  <c r="AQ39" i="38"/>
  <c r="AJ22" i="38"/>
  <c r="AN18" i="38"/>
  <c r="AJ28" i="38"/>
  <c r="AQ28" i="38"/>
  <c r="AP22" i="38"/>
  <c r="AN22" i="38"/>
  <c r="AN28" i="38"/>
  <c r="AO22" i="38"/>
  <c r="AO28" i="38"/>
  <c r="AQ22" i="38"/>
  <c r="AP28" i="38"/>
  <c r="AO21" i="38"/>
  <c r="AJ26" i="38"/>
  <c r="AP26" i="38"/>
  <c r="AP29" i="38"/>
  <c r="AP17" i="38"/>
  <c r="AO18" i="38"/>
  <c r="AJ39" i="38"/>
  <c r="AQ21" i="38"/>
  <c r="AP21" i="38"/>
  <c r="AJ21" i="38"/>
  <c r="AP23" i="38"/>
  <c r="AN21" i="38"/>
  <c r="AQ24" i="38"/>
  <c r="AQ18" i="38"/>
  <c r="AQ26" i="38"/>
  <c r="AP18" i="38"/>
  <c r="AO23" i="38"/>
  <c r="AO26" i="38"/>
  <c r="AQ49" i="38"/>
  <c r="AO29" i="38"/>
  <c r="AP27" i="38"/>
  <c r="AJ23" i="38"/>
  <c r="AO24" i="38"/>
  <c r="AJ24" i="38"/>
  <c r="AN23" i="38"/>
  <c r="AN39" i="38"/>
  <c r="AQ47" i="38"/>
  <c r="AO46" i="38"/>
  <c r="AP39" i="38"/>
  <c r="AQ19" i="38"/>
  <c r="AQ23" i="38"/>
  <c r="AO49" i="38"/>
  <c r="AJ46" i="38"/>
  <c r="AP24" i="38"/>
  <c r="AN46" i="38"/>
  <c r="AO39" i="38"/>
  <c r="AP47" i="38"/>
  <c r="AN49" i="38"/>
  <c r="AJ47" i="38"/>
  <c r="AJ18" i="38"/>
  <c r="AQ48" i="38"/>
  <c r="AO48" i="38"/>
  <c r="AN24" i="38"/>
  <c r="AQ46" i="38"/>
  <c r="AP49" i="38"/>
  <c r="AO47" i="38"/>
  <c r="AN47" i="38"/>
  <c r="AN27" i="38"/>
  <c r="AN48" i="38"/>
  <c r="AJ49" i="38"/>
  <c r="AP48" i="38"/>
  <c r="AP46" i="38"/>
  <c r="AJ48" i="38"/>
  <c r="AJ38" i="38"/>
  <c r="AO38" i="38"/>
  <c r="AO27" i="38"/>
  <c r="AJ37" i="38"/>
  <c r="AP36" i="38"/>
  <c r="AN38" i="38"/>
  <c r="AO37" i="38"/>
  <c r="AO36" i="38"/>
  <c r="AQ36" i="38"/>
  <c r="AO19" i="38"/>
  <c r="AQ27" i="38"/>
  <c r="AP38" i="38"/>
  <c r="AQ37" i="38"/>
  <c r="AN29" i="38"/>
  <c r="AP37" i="38"/>
  <c r="AN37" i="38"/>
  <c r="AJ36" i="38"/>
  <c r="AJ27" i="38"/>
  <c r="AN36" i="38"/>
  <c r="AQ38" i="38"/>
  <c r="AQ29" i="38"/>
  <c r="AJ29" i="38"/>
  <c r="AJ19" i="38"/>
  <c r="AN19" i="38"/>
  <c r="AJ16" i="38"/>
  <c r="AQ16" i="38"/>
  <c r="AP16" i="38"/>
  <c r="AP19" i="38"/>
  <c r="AO16" i="38"/>
  <c r="AJ17" i="38"/>
  <c r="AN17" i="38"/>
  <c r="AO17" i="38"/>
  <c r="AN16" i="38"/>
  <c r="AQ17" i="38"/>
  <c r="N85" i="29"/>
  <c r="Y3" i="38"/>
  <c r="D5" i="29"/>
  <c r="P66" i="25"/>
  <c r="L89" i="25" s="1"/>
  <c r="S87" i="29"/>
  <c r="S88" i="29" s="1"/>
  <c r="Q98" i="29" s="1"/>
  <c r="R98" i="29" s="1"/>
  <c r="P91" i="41"/>
  <c r="D5" i="41" s="1"/>
  <c r="AD21" i="39"/>
  <c r="AI6" i="34"/>
  <c r="X128" i="46"/>
  <c r="T69" i="29"/>
  <c r="T68" i="29"/>
  <c r="U38" i="29"/>
  <c r="S38" i="29" s="1"/>
  <c r="D27" i="29"/>
  <c r="Z100" i="46"/>
  <c r="Z101" i="46" s="1"/>
  <c r="K122" i="46"/>
  <c r="I131" i="46" s="1"/>
  <c r="M131" i="46" s="1"/>
  <c r="AM53" i="38"/>
  <c r="AM54" i="38"/>
  <c r="AM52" i="38"/>
  <c r="AM42" i="38"/>
  <c r="AM43" i="38"/>
  <c r="AM44" i="38"/>
  <c r="AM32" i="38"/>
  <c r="AM34" i="38"/>
  <c r="AM33" i="38"/>
  <c r="AM23" i="38" l="1"/>
  <c r="AM22" i="38"/>
  <c r="AM28" i="38"/>
  <c r="AM29" i="38"/>
  <c r="AM39" i="38"/>
  <c r="AM24" i="38"/>
  <c r="AM47" i="38"/>
  <c r="AM19" i="38"/>
  <c r="AM18" i="38"/>
  <c r="AM27" i="38"/>
  <c r="AM49" i="38"/>
  <c r="AM48" i="38"/>
  <c r="AM38" i="38"/>
  <c r="AM37" i="38"/>
  <c r="AM17" i="38"/>
  <c r="F82" i="29"/>
  <c r="N81" i="29" s="1"/>
  <c r="D3" i="29" s="1"/>
  <c r="Q93" i="29"/>
  <c r="R93" i="29" s="1"/>
  <c r="Q97" i="29"/>
  <c r="R97" i="29" s="1"/>
  <c r="L88" i="25"/>
  <c r="C15" i="25" s="1"/>
  <c r="Q99" i="29"/>
  <c r="R99" i="29" s="1"/>
  <c r="Q101" i="29"/>
  <c r="R101" i="29" s="1"/>
  <c r="Q94" i="29"/>
  <c r="R94" i="29" s="1"/>
  <c r="Q95" i="29"/>
  <c r="R95" i="29" s="1"/>
  <c r="Q91" i="29"/>
  <c r="R91" i="29" s="1"/>
  <c r="Q96" i="29"/>
  <c r="R96" i="29" s="1"/>
  <c r="Q92" i="29"/>
  <c r="R92" i="29" s="1"/>
  <c r="Q100" i="29"/>
  <c r="R100" i="29" s="1"/>
  <c r="H122" i="46"/>
  <c r="I122" i="46"/>
  <c r="J122" i="46"/>
  <c r="D115" i="46" l="1"/>
  <c r="D7" i="38"/>
  <c r="D21" i="39"/>
  <c r="F92" i="41"/>
  <c r="N82" i="29"/>
  <c r="N92" i="41" s="1"/>
  <c r="N83" i="29"/>
  <c r="F83" i="29" s="1"/>
  <c r="C89" i="29" s="1"/>
  <c r="F85" i="29"/>
  <c r="N91" i="41"/>
  <c r="G121" i="29" l="1"/>
  <c r="H121" i="29" s="1"/>
  <c r="T32" i="29" s="1"/>
  <c r="G128" i="29"/>
  <c r="G127" i="29"/>
  <c r="G129" i="29"/>
  <c r="G94" i="29"/>
  <c r="R7" i="29" s="1"/>
  <c r="G133" i="29"/>
  <c r="G93" i="29"/>
  <c r="N94" i="29" s="1"/>
  <c r="G92" i="29"/>
  <c r="J92" i="29" s="1"/>
  <c r="G131" i="29"/>
  <c r="G120" i="29"/>
  <c r="H120" i="29" s="1"/>
  <c r="G119" i="29"/>
  <c r="H119" i="29" s="1"/>
  <c r="G88" i="29"/>
  <c r="H90" i="29" s="1"/>
  <c r="G130" i="29"/>
  <c r="G123" i="29"/>
  <c r="H123" i="29" s="1"/>
  <c r="G117" i="29"/>
  <c r="H117" i="29" s="1"/>
  <c r="T27" i="29" s="1"/>
  <c r="G125" i="29"/>
  <c r="H125" i="29" s="1"/>
  <c r="G124" i="29"/>
  <c r="H124" i="29" s="1"/>
  <c r="G135" i="29" s="1"/>
  <c r="G118" i="29"/>
  <c r="H118" i="29" s="1"/>
  <c r="G126" i="29"/>
  <c r="H126" i="29" s="1"/>
  <c r="G122" i="29"/>
  <c r="H122" i="29" s="1"/>
  <c r="G132" i="29"/>
  <c r="H132" i="29" s="1"/>
  <c r="G95" i="29"/>
  <c r="R8" i="29" s="1"/>
  <c r="G87" i="29"/>
  <c r="G91" i="29" s="1"/>
  <c r="H91" i="29" s="1"/>
  <c r="N84" i="29"/>
  <c r="F84" i="29" s="1"/>
  <c r="F93" i="41" s="1"/>
  <c r="Q5" i="41"/>
  <c r="Q7" i="41"/>
  <c r="C2" i="41"/>
  <c r="F127" i="29" l="1"/>
  <c r="H127" i="29"/>
  <c r="F129" i="29"/>
  <c r="H129" i="29"/>
  <c r="H128" i="29"/>
  <c r="F128" i="29"/>
  <c r="T30" i="29"/>
  <c r="U30" i="29"/>
  <c r="S30" i="29" s="1"/>
  <c r="Z94" i="46"/>
  <c r="W94" i="46" s="1"/>
  <c r="I92" i="29"/>
  <c r="H92" i="29"/>
  <c r="U29" i="29"/>
  <c r="S29" i="29" s="1"/>
  <c r="H93" i="29"/>
  <c r="M3" i="29" s="1"/>
  <c r="U36" i="29"/>
  <c r="S36" i="29" s="1"/>
  <c r="U27" i="29"/>
  <c r="S27" i="29" s="1"/>
  <c r="N95" i="29"/>
  <c r="H95" i="29" s="1"/>
  <c r="H94" i="29"/>
  <c r="U31" i="29"/>
  <c r="S31" i="29" s="1"/>
  <c r="U39" i="29"/>
  <c r="S39" i="29" s="1"/>
  <c r="T35" i="29"/>
  <c r="U33" i="29"/>
  <c r="S33" i="29" s="1"/>
  <c r="H88" i="29"/>
  <c r="AD69" i="46" s="1"/>
  <c r="H89" i="29"/>
  <c r="R12" i="29" s="1"/>
  <c r="D12" i="29" s="1"/>
  <c r="T29" i="29"/>
  <c r="T31" i="29"/>
  <c r="U37" i="29"/>
  <c r="S37" i="29" s="1"/>
  <c r="G134" i="29"/>
  <c r="G139" i="29"/>
  <c r="U67" i="29" s="1"/>
  <c r="S67" i="29" s="1"/>
  <c r="G137" i="29"/>
  <c r="G138" i="29"/>
  <c r="G136" i="29"/>
  <c r="T42" i="29" s="1"/>
  <c r="U32" i="29"/>
  <c r="S32" i="29" s="1"/>
  <c r="AI11" i="34"/>
  <c r="N93" i="41"/>
  <c r="U35" i="29"/>
  <c r="S35" i="29" s="1"/>
  <c r="T33" i="29"/>
  <c r="AP148" i="34"/>
  <c r="AP162" i="34"/>
  <c r="D3" i="41"/>
  <c r="T47" i="29"/>
  <c r="G97" i="29"/>
  <c r="G96" i="29"/>
  <c r="H96" i="29" s="1"/>
  <c r="R10" i="29"/>
  <c r="R6" i="29"/>
  <c r="D20" i="41"/>
  <c r="D21" i="41"/>
  <c r="R19" i="29"/>
  <c r="D19" i="29" s="1"/>
  <c r="U46" i="29" l="1"/>
  <c r="U56" i="29"/>
  <c r="S56" i="29" s="1"/>
  <c r="U55" i="29"/>
  <c r="U54" i="29"/>
  <c r="U59" i="29"/>
  <c r="S66" i="29" s="1"/>
  <c r="U49" i="29"/>
  <c r="S49" i="29" s="1"/>
  <c r="O3" i="64"/>
  <c r="U65" i="29"/>
  <c r="U64" i="29"/>
  <c r="T64" i="29"/>
  <c r="U61" i="29"/>
  <c r="T60" i="29"/>
  <c r="U60" i="29"/>
  <c r="U57" i="29"/>
  <c r="S57" i="29" s="1"/>
  <c r="U51" i="29"/>
  <c r="S58" i="29" s="1"/>
  <c r="U48" i="29"/>
  <c r="S48" i="29" s="1"/>
  <c r="T62" i="29"/>
  <c r="U62" i="29"/>
  <c r="U63" i="29"/>
  <c r="U47" i="29"/>
  <c r="T56" i="29"/>
  <c r="T54" i="29"/>
  <c r="T48" i="29"/>
  <c r="D16" i="29"/>
  <c r="AL46" i="34"/>
  <c r="V46" i="34" s="1"/>
  <c r="AL52" i="34"/>
  <c r="V52" i="34" s="1"/>
  <c r="AK52" i="34"/>
  <c r="AL28" i="34"/>
  <c r="AK46" i="34"/>
  <c r="N46" i="34" s="1"/>
  <c r="N103" i="29"/>
  <c r="C98" i="29" s="1"/>
  <c r="H97" i="29"/>
  <c r="G102" i="29" s="1"/>
  <c r="R3" i="25"/>
  <c r="M3" i="41"/>
  <c r="P3" i="38"/>
  <c r="O3" i="46"/>
  <c r="Y3" i="34"/>
  <c r="R5" i="29"/>
  <c r="D7" i="29" s="1"/>
  <c r="V3" i="39"/>
  <c r="AK18" i="34"/>
  <c r="T52" i="29"/>
  <c r="U53" i="29" s="1"/>
  <c r="T43" i="29"/>
  <c r="U42" i="29"/>
  <c r="S42" i="29" s="1"/>
  <c r="U41" i="29"/>
  <c r="S45" i="29" s="1"/>
  <c r="U43" i="29"/>
  <c r="S43" i="29" s="1"/>
  <c r="T44" i="29"/>
  <c r="AL36" i="34"/>
  <c r="U44" i="29"/>
  <c r="S44" i="29" s="1"/>
  <c r="AL40" i="34"/>
  <c r="AK16" i="34"/>
  <c r="AK28" i="34"/>
  <c r="AL16" i="34"/>
  <c r="V16" i="34" s="1"/>
  <c r="AK20" i="34"/>
  <c r="AL56" i="34"/>
  <c r="AF182" i="34" s="1"/>
  <c r="AK56" i="34"/>
  <c r="AF181" i="34" s="1"/>
  <c r="AK14" i="34"/>
  <c r="AK26" i="34"/>
  <c r="AK36" i="34"/>
  <c r="AK42" i="34"/>
  <c r="AL14" i="34"/>
  <c r="V14" i="34" s="1"/>
  <c r="AL22" i="34"/>
  <c r="V22" i="34" s="1"/>
  <c r="AL42" i="34"/>
  <c r="AK48" i="34"/>
  <c r="N48" i="34" s="1"/>
  <c r="AK24" i="34"/>
  <c r="AL24" i="34"/>
  <c r="AL38" i="34"/>
  <c r="AK38" i="34"/>
  <c r="AK132" i="34" s="1"/>
  <c r="AL18" i="34"/>
  <c r="AL20" i="34"/>
  <c r="AL48" i="34"/>
  <c r="V48" i="34" s="1"/>
  <c r="AJ62" i="34"/>
  <c r="D7" i="34" s="1"/>
  <c r="AK22" i="34"/>
  <c r="AL26" i="34"/>
  <c r="AK40" i="34"/>
  <c r="H135" i="29"/>
  <c r="AA83" i="39"/>
  <c r="U68" i="29"/>
  <c r="S68" i="29" s="1"/>
  <c r="U69" i="29"/>
  <c r="S69" i="29" s="1"/>
  <c r="Q103" i="41"/>
  <c r="Q18" i="41" s="1"/>
  <c r="Q102" i="41"/>
  <c r="Q13" i="41" s="1"/>
  <c r="G99" i="29"/>
  <c r="O7" i="39" l="1"/>
  <c r="AA89" i="39"/>
  <c r="AD63" i="46" s="1"/>
  <c r="AD66" i="46" s="1"/>
  <c r="AK141" i="34"/>
  <c r="AK133" i="34"/>
  <c r="V26" i="34"/>
  <c r="AF133" i="34"/>
  <c r="AK145" i="34"/>
  <c r="AK130" i="34"/>
  <c r="AK144" i="34"/>
  <c r="AK131" i="34"/>
  <c r="V24" i="34"/>
  <c r="AF132" i="34"/>
  <c r="AM132" i="34" s="1"/>
  <c r="AK143" i="34"/>
  <c r="V20" i="34"/>
  <c r="AF131" i="34"/>
  <c r="V18" i="34"/>
  <c r="AF130" i="34"/>
  <c r="V28" i="34"/>
  <c r="U52" i="29"/>
  <c r="S59" i="29"/>
  <c r="S51" i="29"/>
  <c r="AF153" i="34"/>
  <c r="V56" i="34"/>
  <c r="AG118" i="34"/>
  <c r="V40" i="34"/>
  <c r="V36" i="34"/>
  <c r="AK140" i="34"/>
  <c r="AM140" i="34" s="1"/>
  <c r="AK142" i="34"/>
  <c r="AM142" i="34" s="1"/>
  <c r="N22" i="34"/>
  <c r="V38" i="34"/>
  <c r="AO46" i="34"/>
  <c r="AG47" i="34" s="1"/>
  <c r="N52" i="34"/>
  <c r="AO52" i="34"/>
  <c r="AP52" i="34" s="1"/>
  <c r="A18" i="41"/>
  <c r="Q65" i="41" s="1"/>
  <c r="A65" i="41" s="1"/>
  <c r="G101" i="29"/>
  <c r="N18" i="34"/>
  <c r="S41" i="29"/>
  <c r="AO22" i="34"/>
  <c r="AP22" i="34" s="1"/>
  <c r="N20" i="34"/>
  <c r="AO20" i="34"/>
  <c r="AG21" i="34" s="1"/>
  <c r="AC96" i="34" s="1"/>
  <c r="AO18" i="34"/>
  <c r="AP18" i="34" s="1"/>
  <c r="N24" i="34"/>
  <c r="N40" i="34"/>
  <c r="AO16" i="34"/>
  <c r="AO38" i="34"/>
  <c r="AG39" i="34" s="1"/>
  <c r="N16" i="34"/>
  <c r="N36" i="34"/>
  <c r="AO14" i="34"/>
  <c r="AG15" i="34" s="1"/>
  <c r="AE98" i="34" s="1"/>
  <c r="N28" i="34"/>
  <c r="N14" i="34"/>
  <c r="AO40" i="34"/>
  <c r="AG41" i="34" s="1"/>
  <c r="AO24" i="34"/>
  <c r="AP24" i="34" s="1"/>
  <c r="N56" i="34"/>
  <c r="AO36" i="34"/>
  <c r="AP36" i="34" s="1"/>
  <c r="N26" i="34"/>
  <c r="AO56" i="34"/>
  <c r="AJ166" i="34" s="1"/>
  <c r="AO42" i="34"/>
  <c r="AP42" i="34" s="1"/>
  <c r="V42" i="34"/>
  <c r="AO48" i="34"/>
  <c r="AF154" i="34"/>
  <c r="AO26" i="34"/>
  <c r="AP26" i="34" s="1"/>
  <c r="N38" i="34"/>
  <c r="N42" i="34"/>
  <c r="AO28" i="34"/>
  <c r="AG29" i="34" s="1"/>
  <c r="AE99" i="34" s="1"/>
  <c r="G98" i="29"/>
  <c r="N102" i="29"/>
  <c r="H102" i="29" s="1"/>
  <c r="Q108" i="41" s="1"/>
  <c r="G100" i="29"/>
  <c r="C97" i="41"/>
  <c r="Q9" i="41" s="1"/>
  <c r="G103" i="29"/>
  <c r="H103" i="29" s="1"/>
  <c r="N104" i="29"/>
  <c r="Q19" i="41"/>
  <c r="D16" i="41"/>
  <c r="D15" i="41"/>
  <c r="D14" i="41"/>
  <c r="J118" i="46" l="1"/>
  <c r="H118" i="46"/>
  <c r="Z63" i="46"/>
  <c r="Z64" i="46" s="1"/>
  <c r="I118" i="46"/>
  <c r="AF69" i="46"/>
  <c r="D64" i="46" s="1"/>
  <c r="AM130" i="34"/>
  <c r="AM133" i="34"/>
  <c r="AM131" i="34"/>
  <c r="AE103" i="34"/>
  <c r="AI103" i="34" s="1"/>
  <c r="AC109" i="34"/>
  <c r="AG109" i="34" s="1"/>
  <c r="AE102" i="34"/>
  <c r="AH163" i="34"/>
  <c r="AG17" i="34"/>
  <c r="AF152" i="34"/>
  <c r="AM182" i="34" s="1"/>
  <c r="AG127" i="34"/>
  <c r="AM146" i="34"/>
  <c r="AM144" i="34"/>
  <c r="AM145" i="34"/>
  <c r="AM147" i="34"/>
  <c r="AM143" i="34"/>
  <c r="AM141" i="34"/>
  <c r="AG48" i="34"/>
  <c r="AG122" i="34"/>
  <c r="AG126" i="34"/>
  <c r="AP46" i="34"/>
  <c r="AH165" i="34"/>
  <c r="AR151" i="34"/>
  <c r="AR149" i="34"/>
  <c r="AI98" i="34"/>
  <c r="AL98" i="34" s="1"/>
  <c r="T93" i="46"/>
  <c r="AJ165" i="34"/>
  <c r="T94" i="46"/>
  <c r="T95" i="46"/>
  <c r="I121" i="46" s="1"/>
  <c r="T92" i="46"/>
  <c r="H121" i="46" s="1"/>
  <c r="H125" i="46" s="1"/>
  <c r="AG23" i="34"/>
  <c r="AE97" i="34" s="1"/>
  <c r="AG19" i="34"/>
  <c r="AC98" i="34" s="1"/>
  <c r="AP28" i="34"/>
  <c r="AG25" i="34"/>
  <c r="AC97" i="34" s="1"/>
  <c r="AG97" i="34" s="1"/>
  <c r="AK97" i="34" s="1"/>
  <c r="AP14" i="34"/>
  <c r="AP16" i="34"/>
  <c r="AG37" i="34"/>
  <c r="AP20" i="34"/>
  <c r="AG43" i="34"/>
  <c r="AP38" i="34"/>
  <c r="AG121" i="34"/>
  <c r="AG124" i="34"/>
  <c r="AH164" i="34"/>
  <c r="AG57" i="34"/>
  <c r="AG123" i="34"/>
  <c r="AP56" i="34"/>
  <c r="AR150" i="34" s="1"/>
  <c r="AG119" i="34"/>
  <c r="AP120" i="34" s="1"/>
  <c r="AJ164" i="34"/>
  <c r="AG125" i="34"/>
  <c r="AP40" i="34"/>
  <c r="AG120" i="34"/>
  <c r="AJ163" i="34"/>
  <c r="AP48" i="34"/>
  <c r="AG50" i="34"/>
  <c r="AG49" i="34"/>
  <c r="AG27" i="34"/>
  <c r="AC99" i="34" s="1"/>
  <c r="AC11" i="34"/>
  <c r="AN71" i="34"/>
  <c r="AL68" i="34"/>
  <c r="AP70" i="34" s="1"/>
  <c r="AP71" i="34" s="1"/>
  <c r="AH166" i="34"/>
  <c r="N101" i="29"/>
  <c r="H101" i="29" s="1"/>
  <c r="Q107" i="41" s="1"/>
  <c r="D18" i="41" s="1"/>
  <c r="H95" i="41"/>
  <c r="G95" i="41"/>
  <c r="Q38" i="41"/>
  <c r="E38" i="41"/>
  <c r="D38" i="41" s="1"/>
  <c r="E39" i="41"/>
  <c r="N105" i="29"/>
  <c r="G104" i="29"/>
  <c r="A19" i="41"/>
  <c r="Q66" i="41" s="1"/>
  <c r="A66" i="41" s="1"/>
  <c r="I125" i="46" l="1"/>
  <c r="D65" i="46"/>
  <c r="D68" i="46"/>
  <c r="D66" i="46"/>
  <c r="D67" i="46"/>
  <c r="K118" i="46"/>
  <c r="B130" i="46" s="1"/>
  <c r="AG99" i="34"/>
  <c r="AM99" i="34" s="1"/>
  <c r="AM153" i="34"/>
  <c r="AM181" i="34"/>
  <c r="AP132" i="34"/>
  <c r="AP130" i="34"/>
  <c r="AP129" i="34"/>
  <c r="AL103" i="34"/>
  <c r="AZ73" i="34" s="1"/>
  <c r="AY73" i="34" s="1"/>
  <c r="AO103" i="34"/>
  <c r="AE49" i="34" s="1"/>
  <c r="O49" i="34" s="1"/>
  <c r="AK109" i="34"/>
  <c r="AM109" i="34"/>
  <c r="AC57" i="34" s="1"/>
  <c r="G57" i="34" s="1"/>
  <c r="AC103" i="34"/>
  <c r="AG103" i="34" s="1"/>
  <c r="AC106" i="34"/>
  <c r="AG106" i="34" s="1"/>
  <c r="AK106" i="34" s="1"/>
  <c r="AE106" i="34"/>
  <c r="AI106" i="34" s="1"/>
  <c r="AL106" i="34" s="1"/>
  <c r="AV107" i="34" s="1"/>
  <c r="AC112" i="34"/>
  <c r="AG112" i="34" s="1"/>
  <c r="AI102" i="34"/>
  <c r="AL102" i="34" s="1"/>
  <c r="AV104" i="34" s="1"/>
  <c r="AU104" i="34" s="1"/>
  <c r="AC102" i="34"/>
  <c r="AG102" i="34" s="1"/>
  <c r="AE109" i="34"/>
  <c r="AI109" i="34" s="1"/>
  <c r="AL109" i="34" s="1"/>
  <c r="AI97" i="34"/>
  <c r="AL97" i="34" s="1"/>
  <c r="AZ49" i="34" s="1"/>
  <c r="AY49" i="34" s="1"/>
  <c r="AE96" i="34"/>
  <c r="AI96" i="34" s="1"/>
  <c r="AL96" i="34" s="1"/>
  <c r="T89" i="46"/>
  <c r="B135" i="46" s="1"/>
  <c r="AP156" i="34"/>
  <c r="AM154" i="34"/>
  <c r="AR143" i="34"/>
  <c r="AP141" i="34"/>
  <c r="AP121" i="34"/>
  <c r="AO124" i="34" s="1"/>
  <c r="AR155" i="34" s="1"/>
  <c r="AP123" i="34"/>
  <c r="AR148" i="34"/>
  <c r="AP143" i="34"/>
  <c r="AP140" i="34"/>
  <c r="AV71" i="34"/>
  <c r="AU71" i="34" s="1"/>
  <c r="AV70" i="34"/>
  <c r="AU70" i="34" s="1"/>
  <c r="AV69" i="34"/>
  <c r="AU69" i="34" s="1"/>
  <c r="AV68" i="34"/>
  <c r="AU68" i="34" s="1"/>
  <c r="AV67" i="34"/>
  <c r="AU67" i="34" s="1"/>
  <c r="AV66" i="34"/>
  <c r="AU66" i="34" s="1"/>
  <c r="AV65" i="34"/>
  <c r="AU65" i="34" s="1"/>
  <c r="AV64" i="34"/>
  <c r="AU64" i="34" s="1"/>
  <c r="AV63" i="34"/>
  <c r="AU63" i="34" s="1"/>
  <c r="AV62" i="34"/>
  <c r="AU62" i="34" s="1"/>
  <c r="AV61" i="34"/>
  <c r="AU61" i="34" s="1"/>
  <c r="AV60" i="34"/>
  <c r="AU60" i="34" s="1"/>
  <c r="AV59" i="34"/>
  <c r="AU59" i="34" s="1"/>
  <c r="AV58" i="34"/>
  <c r="AU58" i="34" s="1"/>
  <c r="AV57" i="34"/>
  <c r="AU57" i="34" s="1"/>
  <c r="AV56" i="34"/>
  <c r="AU56" i="34" s="1"/>
  <c r="AV55" i="34"/>
  <c r="AU55" i="34" s="1"/>
  <c r="AV54" i="34"/>
  <c r="AU54" i="34" s="1"/>
  <c r="AV53" i="34"/>
  <c r="AU53" i="34" s="1"/>
  <c r="AV52" i="34"/>
  <c r="AU52" i="34" s="1"/>
  <c r="AV51" i="34"/>
  <c r="AU51" i="34" s="1"/>
  <c r="AX49" i="34"/>
  <c r="AW49" i="34" s="1"/>
  <c r="AX48" i="34"/>
  <c r="AW48" i="34" s="1"/>
  <c r="AX47" i="34"/>
  <c r="AW47" i="34" s="1"/>
  <c r="AX46" i="34"/>
  <c r="AW46" i="34" s="1"/>
  <c r="AX45" i="34"/>
  <c r="AW45" i="34" s="1"/>
  <c r="AX44" i="34"/>
  <c r="AW44" i="34" s="1"/>
  <c r="AX43" i="34"/>
  <c r="AW43" i="34" s="1"/>
  <c r="AX42" i="34"/>
  <c r="AW42" i="34" s="1"/>
  <c r="AX41" i="34"/>
  <c r="AW41" i="34" s="1"/>
  <c r="AX40" i="34"/>
  <c r="AW40" i="34" s="1"/>
  <c r="AX39" i="34"/>
  <c r="AW39" i="34" s="1"/>
  <c r="AX38" i="34"/>
  <c r="AW38" i="34" s="1"/>
  <c r="AX37" i="34"/>
  <c r="AW37" i="34" s="1"/>
  <c r="AX36" i="34"/>
  <c r="AW36" i="34" s="1"/>
  <c r="AX35" i="34"/>
  <c r="AW35" i="34" s="1"/>
  <c r="AX34" i="34"/>
  <c r="AW34" i="34" s="1"/>
  <c r="AX33" i="34"/>
  <c r="AW33" i="34" s="1"/>
  <c r="AX32" i="34"/>
  <c r="AW32" i="34" s="1"/>
  <c r="AX31" i="34"/>
  <c r="AW31" i="34" s="1"/>
  <c r="AX30" i="34"/>
  <c r="AW30" i="34" s="1"/>
  <c r="AO98" i="34"/>
  <c r="AE41" i="34" s="1"/>
  <c r="O41" i="34" s="1"/>
  <c r="AI99" i="34"/>
  <c r="AL99" i="34" s="1"/>
  <c r="AG98" i="34"/>
  <c r="AK98" i="34" s="1"/>
  <c r="AM97" i="34"/>
  <c r="AC39" i="34" s="1"/>
  <c r="G39" i="34" s="1"/>
  <c r="AG96" i="34"/>
  <c r="AK96" i="34" s="1"/>
  <c r="J121" i="46"/>
  <c r="J125" i="46" s="1"/>
  <c r="O55" i="46"/>
  <c r="O56" i="46" s="1"/>
  <c r="AR146" i="34"/>
  <c r="AR147" i="34"/>
  <c r="AZ163" i="34"/>
  <c r="BA145" i="34"/>
  <c r="AZ165" i="34"/>
  <c r="BA156" i="34"/>
  <c r="BA169" i="34"/>
  <c r="AZ145" i="34"/>
  <c r="BA146" i="34"/>
  <c r="AZ166" i="34"/>
  <c r="AZ144" i="34"/>
  <c r="AP163" i="34"/>
  <c r="AZ157" i="34"/>
  <c r="BA171" i="34"/>
  <c r="AZ168" i="34"/>
  <c r="BA159" i="34"/>
  <c r="AZ142" i="34"/>
  <c r="BA150" i="34"/>
  <c r="BA151" i="34"/>
  <c r="AZ161" i="34"/>
  <c r="BA167" i="34"/>
  <c r="AZ154" i="34"/>
  <c r="AZ162" i="34"/>
  <c r="AZ159" i="34"/>
  <c r="AZ155" i="34"/>
  <c r="AZ170" i="34"/>
  <c r="AZ147" i="34"/>
  <c r="BA161" i="34"/>
  <c r="BA164" i="34"/>
  <c r="BA154" i="34"/>
  <c r="BA147" i="34"/>
  <c r="BA144" i="34"/>
  <c r="AZ171" i="34"/>
  <c r="BA165" i="34"/>
  <c r="BA168" i="34"/>
  <c r="AZ148" i="34"/>
  <c r="BA170" i="34"/>
  <c r="BA153" i="34"/>
  <c r="BA148" i="34"/>
  <c r="BA172" i="34"/>
  <c r="AZ143" i="34"/>
  <c r="AZ160" i="34"/>
  <c r="AZ167" i="34"/>
  <c r="BA152" i="34"/>
  <c r="AZ156" i="34"/>
  <c r="AZ169" i="34"/>
  <c r="AZ149" i="34"/>
  <c r="AZ153" i="34"/>
  <c r="AZ158" i="34"/>
  <c r="BA166" i="34"/>
  <c r="AZ152" i="34"/>
  <c r="BA143" i="34"/>
  <c r="AZ146" i="34"/>
  <c r="AZ150" i="34"/>
  <c r="BA157" i="34"/>
  <c r="AZ172" i="34"/>
  <c r="BA142" i="34"/>
  <c r="BA149" i="34"/>
  <c r="AZ173" i="34"/>
  <c r="AR144" i="34"/>
  <c r="BA162" i="34"/>
  <c r="AP64" i="34"/>
  <c r="BA160" i="34"/>
  <c r="BA163" i="34"/>
  <c r="BA155" i="34"/>
  <c r="AZ151" i="34"/>
  <c r="BA173" i="34"/>
  <c r="AZ164" i="34"/>
  <c r="BA158" i="34"/>
  <c r="AP164" i="34"/>
  <c r="AO167" i="34" s="1"/>
  <c r="AR162" i="34" s="1"/>
  <c r="AP166" i="34"/>
  <c r="AX29" i="34"/>
  <c r="AW29" i="34" s="1"/>
  <c r="N100" i="29"/>
  <c r="N99" i="29" s="1"/>
  <c r="N98" i="29" s="1"/>
  <c r="H98" i="29" s="1"/>
  <c r="H104" i="29"/>
  <c r="H96" i="41" s="1"/>
  <c r="Q34" i="41" s="1"/>
  <c r="G96" i="41"/>
  <c r="Q39" i="41"/>
  <c r="A38" i="41"/>
  <c r="Q82" i="41" s="1"/>
  <c r="A82" i="41" s="1"/>
  <c r="D106" i="29"/>
  <c r="G105" i="29"/>
  <c r="H105" i="29" s="1"/>
  <c r="Q20" i="41"/>
  <c r="AK99" i="34" l="1"/>
  <c r="AC43" i="34"/>
  <c r="G43" i="34" s="1"/>
  <c r="AP151" i="34"/>
  <c r="AP182" i="34"/>
  <c r="AP180" i="34"/>
  <c r="AP179" i="34"/>
  <c r="AO133" i="34"/>
  <c r="AR156" i="34" s="1"/>
  <c r="AV75" i="34"/>
  <c r="AU75" i="34" s="1"/>
  <c r="AV105" i="34"/>
  <c r="AU105" i="34" s="1"/>
  <c r="AO102" i="34"/>
  <c r="AE47" i="34" s="1"/>
  <c r="O47" i="34" s="1"/>
  <c r="AV83" i="34"/>
  <c r="AU83" i="34" s="1"/>
  <c r="AV89" i="34"/>
  <c r="AU89" i="34" s="1"/>
  <c r="AV76" i="34"/>
  <c r="AU76" i="34" s="1"/>
  <c r="AV90" i="34"/>
  <c r="AU90" i="34" s="1"/>
  <c r="AV91" i="34"/>
  <c r="AU91" i="34" s="1"/>
  <c r="AV92" i="34"/>
  <c r="AU92" i="34" s="1"/>
  <c r="AV74" i="34"/>
  <c r="AU74" i="34" s="1"/>
  <c r="AV99" i="34"/>
  <c r="AU99" i="34" s="1"/>
  <c r="AV81" i="34"/>
  <c r="AU81" i="34" s="1"/>
  <c r="AV97" i="34"/>
  <c r="AU97" i="34" s="1"/>
  <c r="AV82" i="34"/>
  <c r="AU82" i="34" s="1"/>
  <c r="AV98" i="34"/>
  <c r="AU98" i="34" s="1"/>
  <c r="AV84" i="34"/>
  <c r="AU84" i="34" s="1"/>
  <c r="AV100" i="34"/>
  <c r="AU100" i="34" s="1"/>
  <c r="AV77" i="34"/>
  <c r="AU77" i="34" s="1"/>
  <c r="AV85" i="34"/>
  <c r="AU85" i="34" s="1"/>
  <c r="AV93" i="34"/>
  <c r="AU93" i="34" s="1"/>
  <c r="AV101" i="34"/>
  <c r="AU101" i="34" s="1"/>
  <c r="AV78" i="34"/>
  <c r="AU78" i="34" s="1"/>
  <c r="AV86" i="34"/>
  <c r="AU86" i="34" s="1"/>
  <c r="AV94" i="34"/>
  <c r="AU94" i="34" s="1"/>
  <c r="AV102" i="34"/>
  <c r="AU102" i="34" s="1"/>
  <c r="AV79" i="34"/>
  <c r="AU79" i="34" s="1"/>
  <c r="AV87" i="34"/>
  <c r="AU87" i="34" s="1"/>
  <c r="AV95" i="34"/>
  <c r="AU95" i="34" s="1"/>
  <c r="AV103" i="34"/>
  <c r="AU103" i="34" s="1"/>
  <c r="AV80" i="34"/>
  <c r="AU80" i="34" s="1"/>
  <c r="AV88" i="34"/>
  <c r="AU88" i="34" s="1"/>
  <c r="AV96" i="34"/>
  <c r="AU96" i="34" s="1"/>
  <c r="AK112" i="34"/>
  <c r="AM112" i="34"/>
  <c r="AE60" i="34" s="1"/>
  <c r="O60" i="34" s="1"/>
  <c r="AZ131" i="34"/>
  <c r="AY131" i="34" s="1"/>
  <c r="AZ126" i="34"/>
  <c r="AY126" i="34" s="1"/>
  <c r="AZ129" i="34"/>
  <c r="AY129" i="34" s="1"/>
  <c r="AZ128" i="34"/>
  <c r="AY128" i="34" s="1"/>
  <c r="AZ115" i="34"/>
  <c r="AY115" i="34" s="1"/>
  <c r="AT136" i="34"/>
  <c r="AS136" i="34" s="1"/>
  <c r="AT113" i="34"/>
  <c r="AS113" i="34" s="1"/>
  <c r="AZ36" i="34"/>
  <c r="AY36" i="34" s="1"/>
  <c r="AV117" i="34"/>
  <c r="AU117" i="34" s="1"/>
  <c r="AV130" i="34"/>
  <c r="AU130" i="34" s="1"/>
  <c r="AV127" i="34"/>
  <c r="AU127" i="34" s="1"/>
  <c r="AV120" i="34"/>
  <c r="AU120" i="34" s="1"/>
  <c r="AV123" i="34"/>
  <c r="AU123" i="34" s="1"/>
  <c r="AZ42" i="34"/>
  <c r="AY42" i="34" s="1"/>
  <c r="AV129" i="34"/>
  <c r="AU129" i="34" s="1"/>
  <c r="AV134" i="34"/>
  <c r="AU134" i="34" s="1"/>
  <c r="AV131" i="34"/>
  <c r="AU131" i="34" s="1"/>
  <c r="AV124" i="34"/>
  <c r="AU124" i="34" s="1"/>
  <c r="AV126" i="34"/>
  <c r="AU126" i="34" s="1"/>
  <c r="AO106" i="34"/>
  <c r="AE53" i="34" s="1"/>
  <c r="O53" i="34" s="1"/>
  <c r="AZ44" i="34"/>
  <c r="AY44" i="34" s="1"/>
  <c r="AV133" i="34"/>
  <c r="AU133" i="34" s="1"/>
  <c r="AV138" i="34"/>
  <c r="AU138" i="34" s="1"/>
  <c r="AV135" i="34"/>
  <c r="AU135" i="34" s="1"/>
  <c r="AV128" i="34"/>
  <c r="AU128" i="34" s="1"/>
  <c r="AV119" i="34"/>
  <c r="AU119" i="34" s="1"/>
  <c r="AV110" i="34"/>
  <c r="AU110" i="34" s="1"/>
  <c r="AV137" i="34"/>
  <c r="AU137" i="34" s="1"/>
  <c r="AV139" i="34"/>
  <c r="AU139" i="34" s="1"/>
  <c r="AV132" i="34"/>
  <c r="AU132" i="34" s="1"/>
  <c r="AV109" i="34"/>
  <c r="AU109" i="34" s="1"/>
  <c r="AV122" i="34"/>
  <c r="AU122" i="34" s="1"/>
  <c r="AV112" i="34"/>
  <c r="AU112" i="34" s="1"/>
  <c r="AZ34" i="34"/>
  <c r="AY34" i="34" s="1"/>
  <c r="AV114" i="34"/>
  <c r="AU114" i="34" s="1"/>
  <c r="AV111" i="34"/>
  <c r="AU111" i="34" s="1"/>
  <c r="AV125" i="34"/>
  <c r="AU125" i="34" s="1"/>
  <c r="AV136" i="34"/>
  <c r="AU136" i="34" s="1"/>
  <c r="AV113" i="34"/>
  <c r="AU113" i="34" s="1"/>
  <c r="AV116" i="34"/>
  <c r="AU116" i="34" s="1"/>
  <c r="AZ29" i="34"/>
  <c r="AY29" i="34" s="1"/>
  <c r="AV121" i="34"/>
  <c r="AU121" i="34" s="1"/>
  <c r="AV118" i="34"/>
  <c r="AU118" i="34" s="1"/>
  <c r="AV115" i="34"/>
  <c r="AU115" i="34" s="1"/>
  <c r="AV108" i="34"/>
  <c r="AU108" i="34" s="1"/>
  <c r="AK103" i="34"/>
  <c r="AX73" i="34" s="1"/>
  <c r="AW73" i="34" s="1"/>
  <c r="AM103" i="34"/>
  <c r="AC49" i="34" s="1"/>
  <c r="G49" i="34" s="1"/>
  <c r="AZ124" i="34"/>
  <c r="AY124" i="34" s="1"/>
  <c r="AZ125" i="34"/>
  <c r="AY125" i="34" s="1"/>
  <c r="AZ122" i="34"/>
  <c r="AY122" i="34" s="1"/>
  <c r="AZ127" i="34"/>
  <c r="AY127" i="34" s="1"/>
  <c r="AT108" i="34"/>
  <c r="AS108" i="34" s="1"/>
  <c r="AT126" i="34"/>
  <c r="AS126" i="34" s="1"/>
  <c r="AT132" i="34"/>
  <c r="AS132" i="34" s="1"/>
  <c r="AT131" i="34"/>
  <c r="AS131" i="34" s="1"/>
  <c r="AT111" i="34"/>
  <c r="AS111" i="34" s="1"/>
  <c r="AT133" i="34"/>
  <c r="AS133" i="34" s="1"/>
  <c r="AT118" i="34"/>
  <c r="AS118" i="34" s="1"/>
  <c r="AZ111" i="34"/>
  <c r="AY111" i="34" s="1"/>
  <c r="AZ132" i="34"/>
  <c r="AY132" i="34" s="1"/>
  <c r="AZ133" i="34"/>
  <c r="AY133" i="34" s="1"/>
  <c r="AZ130" i="34"/>
  <c r="AY130" i="34" s="1"/>
  <c r="AT137" i="34"/>
  <c r="AS137" i="34" s="1"/>
  <c r="AT128" i="34"/>
  <c r="AS128" i="34" s="1"/>
  <c r="AT114" i="34"/>
  <c r="AS114" i="34" s="1"/>
  <c r="AM106" i="34"/>
  <c r="AC53" i="34" s="1"/>
  <c r="G53" i="34" s="1"/>
  <c r="AK102" i="34"/>
  <c r="AM102" i="34"/>
  <c r="AC47" i="34" s="1"/>
  <c r="G47" i="34" s="1"/>
  <c r="AZ135" i="34"/>
  <c r="AY135" i="34" s="1"/>
  <c r="AZ136" i="34"/>
  <c r="AY136" i="34" s="1"/>
  <c r="AZ137" i="34"/>
  <c r="AY137" i="34" s="1"/>
  <c r="AZ134" i="34"/>
  <c r="AY134" i="34" s="1"/>
  <c r="AT130" i="34"/>
  <c r="AS130" i="34" s="1"/>
  <c r="AT138" i="34"/>
  <c r="AS138" i="34" s="1"/>
  <c r="AT110" i="34"/>
  <c r="AS110" i="34" s="1"/>
  <c r="AT124" i="34"/>
  <c r="AS124" i="34" s="1"/>
  <c r="AZ108" i="34"/>
  <c r="AY108" i="34" s="1"/>
  <c r="AZ109" i="34"/>
  <c r="AY109" i="34" s="1"/>
  <c r="AZ139" i="34"/>
  <c r="AY139" i="34" s="1"/>
  <c r="AZ138" i="34"/>
  <c r="AY138" i="34" s="1"/>
  <c r="AT112" i="34"/>
  <c r="AS112" i="34" s="1"/>
  <c r="AT120" i="34"/>
  <c r="AS120" i="34" s="1"/>
  <c r="AT134" i="34"/>
  <c r="AS134" i="34" s="1"/>
  <c r="AT139" i="34"/>
  <c r="AS139" i="34" s="1"/>
  <c r="AT107" i="34"/>
  <c r="AS107" i="34" s="1"/>
  <c r="AZ112" i="34"/>
  <c r="AY112" i="34" s="1"/>
  <c r="AZ113" i="34"/>
  <c r="AY113" i="34" s="1"/>
  <c r="AZ110" i="34"/>
  <c r="AY110" i="34" s="1"/>
  <c r="AZ119" i="34"/>
  <c r="AY119" i="34" s="1"/>
  <c r="AT115" i="34"/>
  <c r="AS115" i="34" s="1"/>
  <c r="AT123" i="34"/>
  <c r="AS123" i="34" s="1"/>
  <c r="AT119" i="34"/>
  <c r="AS119" i="34" s="1"/>
  <c r="AT109" i="34"/>
  <c r="AS109" i="34" s="1"/>
  <c r="AT129" i="34"/>
  <c r="AS129" i="34" s="1"/>
  <c r="AX107" i="34"/>
  <c r="AW107" i="34" s="1"/>
  <c r="AX139" i="34"/>
  <c r="AW139" i="34" s="1"/>
  <c r="AX120" i="34"/>
  <c r="AW120" i="34" s="1"/>
  <c r="AX114" i="34"/>
  <c r="AW114" i="34" s="1"/>
  <c r="AX113" i="34"/>
  <c r="AW113" i="34" s="1"/>
  <c r="AX131" i="34"/>
  <c r="AW131" i="34" s="1"/>
  <c r="AX138" i="34"/>
  <c r="AW138" i="34" s="1"/>
  <c r="AX137" i="34"/>
  <c r="AW137" i="34" s="1"/>
  <c r="AX124" i="34"/>
  <c r="AW124" i="34" s="1"/>
  <c r="AX128" i="34"/>
  <c r="AW128" i="34" s="1"/>
  <c r="AX135" i="34"/>
  <c r="AW135" i="34" s="1"/>
  <c r="AX132" i="34"/>
  <c r="AW132" i="34" s="1"/>
  <c r="AX110" i="34"/>
  <c r="AW110" i="34" s="1"/>
  <c r="AX109" i="34"/>
  <c r="AW109" i="34" s="1"/>
  <c r="AX111" i="34"/>
  <c r="AW111" i="34" s="1"/>
  <c r="AX118" i="34"/>
  <c r="AW118" i="34" s="1"/>
  <c r="AX117" i="34"/>
  <c r="AW117" i="34" s="1"/>
  <c r="AX127" i="34"/>
  <c r="AW127" i="34" s="1"/>
  <c r="AX134" i="34"/>
  <c r="AW134" i="34" s="1"/>
  <c r="AX133" i="34"/>
  <c r="AW133" i="34" s="1"/>
  <c r="AX116" i="34"/>
  <c r="AW116" i="34" s="1"/>
  <c r="AX123" i="34"/>
  <c r="AW123" i="34" s="1"/>
  <c r="AX130" i="34"/>
  <c r="AW130" i="34" s="1"/>
  <c r="AX129" i="34"/>
  <c r="AW129" i="34" s="1"/>
  <c r="AX112" i="34"/>
  <c r="AW112" i="34" s="1"/>
  <c r="AX119" i="34"/>
  <c r="AW119" i="34" s="1"/>
  <c r="AX126" i="34"/>
  <c r="AW126" i="34" s="1"/>
  <c r="AX125" i="34"/>
  <c r="AW125" i="34" s="1"/>
  <c r="AX108" i="34"/>
  <c r="AW108" i="34" s="1"/>
  <c r="AX136" i="34"/>
  <c r="AW136" i="34" s="1"/>
  <c r="AX115" i="34"/>
  <c r="AW115" i="34" s="1"/>
  <c r="AX122" i="34"/>
  <c r="AW122" i="34" s="1"/>
  <c r="AX121" i="34"/>
  <c r="AW121" i="34" s="1"/>
  <c r="AO109" i="34"/>
  <c r="AE57" i="34" s="1"/>
  <c r="O57" i="34" s="1"/>
  <c r="AZ116" i="34"/>
  <c r="AY116" i="34" s="1"/>
  <c r="AZ117" i="34"/>
  <c r="AY117" i="34" s="1"/>
  <c r="AZ114" i="34"/>
  <c r="AY114" i="34" s="1"/>
  <c r="AZ123" i="34"/>
  <c r="AY123" i="34" s="1"/>
  <c r="AT125" i="34"/>
  <c r="AS125" i="34" s="1"/>
  <c r="AT117" i="34"/>
  <c r="AS117" i="34" s="1"/>
  <c r="AT121" i="34"/>
  <c r="AS121" i="34" s="1"/>
  <c r="AT127" i="34"/>
  <c r="AS127" i="34" s="1"/>
  <c r="AZ120" i="34"/>
  <c r="AY120" i="34" s="1"/>
  <c r="AZ121" i="34"/>
  <c r="AY121" i="34" s="1"/>
  <c r="AZ118" i="34"/>
  <c r="AY118" i="34" s="1"/>
  <c r="AT122" i="34"/>
  <c r="AS122" i="34" s="1"/>
  <c r="AT116" i="34"/>
  <c r="AS116" i="34" s="1"/>
  <c r="AT135" i="34"/>
  <c r="AS135" i="34" s="1"/>
  <c r="AZ102" i="34"/>
  <c r="AY102" i="34" s="1"/>
  <c r="AZ99" i="34"/>
  <c r="AY99" i="34" s="1"/>
  <c r="AZ88" i="34"/>
  <c r="AY88" i="34" s="1"/>
  <c r="AZ80" i="34"/>
  <c r="AY80" i="34" s="1"/>
  <c r="AZ87" i="34"/>
  <c r="AY87" i="34" s="1"/>
  <c r="AZ96" i="34"/>
  <c r="AY96" i="34" s="1"/>
  <c r="AZ86" i="34"/>
  <c r="AY86" i="34" s="1"/>
  <c r="AZ77" i="34"/>
  <c r="AY77" i="34" s="1"/>
  <c r="AZ90" i="34"/>
  <c r="AY90" i="34" s="1"/>
  <c r="AZ98" i="34"/>
  <c r="AY98" i="34" s="1"/>
  <c r="AZ97" i="34"/>
  <c r="AY97" i="34" s="1"/>
  <c r="AZ79" i="34"/>
  <c r="AY79" i="34" s="1"/>
  <c r="AZ94" i="34"/>
  <c r="AY94" i="34" s="1"/>
  <c r="AZ103" i="34"/>
  <c r="AY103" i="34" s="1"/>
  <c r="AZ89" i="34"/>
  <c r="AY89" i="34" s="1"/>
  <c r="AZ95" i="34"/>
  <c r="AY95" i="34" s="1"/>
  <c r="AZ85" i="34"/>
  <c r="AY85" i="34" s="1"/>
  <c r="AZ76" i="34"/>
  <c r="AY76" i="34" s="1"/>
  <c r="AZ81" i="34"/>
  <c r="AY81" i="34" s="1"/>
  <c r="AZ78" i="34"/>
  <c r="AY78" i="34" s="1"/>
  <c r="AZ93" i="34"/>
  <c r="AY93" i="34" s="1"/>
  <c r="AZ84" i="34"/>
  <c r="AY84" i="34" s="1"/>
  <c r="AZ75" i="34"/>
  <c r="AY75" i="34" s="1"/>
  <c r="AZ104" i="34"/>
  <c r="AY104" i="34" s="1"/>
  <c r="AZ92" i="34"/>
  <c r="AY92" i="34" s="1"/>
  <c r="AZ83" i="34"/>
  <c r="AY83" i="34" s="1"/>
  <c r="AZ74" i="34"/>
  <c r="AY74" i="34" s="1"/>
  <c r="AZ105" i="34"/>
  <c r="AY105" i="34" s="1"/>
  <c r="AZ101" i="34"/>
  <c r="AY101" i="34" s="1"/>
  <c r="AZ91" i="34"/>
  <c r="AY91" i="34" s="1"/>
  <c r="AZ82" i="34"/>
  <c r="AY82" i="34" s="1"/>
  <c r="AZ100" i="34"/>
  <c r="AY100" i="34" s="1"/>
  <c r="AZ35" i="34"/>
  <c r="AY35" i="34" s="1"/>
  <c r="AZ43" i="34"/>
  <c r="AY43" i="34" s="1"/>
  <c r="AZ37" i="34"/>
  <c r="AY37" i="34" s="1"/>
  <c r="AZ45" i="34"/>
  <c r="AY45" i="34" s="1"/>
  <c r="AZ30" i="34"/>
  <c r="AY30" i="34" s="1"/>
  <c r="AZ38" i="34"/>
  <c r="AY38" i="34" s="1"/>
  <c r="AZ46" i="34"/>
  <c r="AY46" i="34" s="1"/>
  <c r="AZ31" i="34"/>
  <c r="AY31" i="34" s="1"/>
  <c r="AZ39" i="34"/>
  <c r="AY39" i="34" s="1"/>
  <c r="AZ47" i="34"/>
  <c r="AY47" i="34" s="1"/>
  <c r="AZ32" i="34"/>
  <c r="AY32" i="34" s="1"/>
  <c r="AZ40" i="34"/>
  <c r="AY40" i="34" s="1"/>
  <c r="AZ48" i="34"/>
  <c r="AY48" i="34" s="1"/>
  <c r="AO97" i="34"/>
  <c r="AE39" i="34" s="1"/>
  <c r="O39" i="34" s="1"/>
  <c r="AZ33" i="34"/>
  <c r="AY33" i="34" s="1"/>
  <c r="AZ41" i="34"/>
  <c r="AY41" i="34" s="1"/>
  <c r="AH149" i="34"/>
  <c r="AM149" i="34" s="1"/>
  <c r="AH150" i="34"/>
  <c r="AM150" i="34" s="1"/>
  <c r="AO144" i="34"/>
  <c r="AR157" i="34" s="1"/>
  <c r="AB134" i="46"/>
  <c r="T91" i="46"/>
  <c r="T90" i="46"/>
  <c r="AP157" i="34"/>
  <c r="AO160" i="34" s="1"/>
  <c r="AR161" i="34" s="1"/>
  <c r="AP159" i="34"/>
  <c r="AP152" i="34"/>
  <c r="AP154" i="34"/>
  <c r="AT71" i="34"/>
  <c r="AS71" i="34" s="1"/>
  <c r="AT70" i="34"/>
  <c r="AS70" i="34" s="1"/>
  <c r="AT69" i="34"/>
  <c r="AS69" i="34" s="1"/>
  <c r="AT68" i="34"/>
  <c r="AS68" i="34" s="1"/>
  <c r="AT67" i="34"/>
  <c r="AS67" i="34" s="1"/>
  <c r="AT66" i="34"/>
  <c r="AS66" i="34" s="1"/>
  <c r="AT65" i="34"/>
  <c r="AS65" i="34" s="1"/>
  <c r="AT64" i="34"/>
  <c r="AS64" i="34" s="1"/>
  <c r="AT63" i="34"/>
  <c r="AS63" i="34" s="1"/>
  <c r="AT62" i="34"/>
  <c r="AS62" i="34" s="1"/>
  <c r="AT61" i="34"/>
  <c r="AS61" i="34" s="1"/>
  <c r="AT60" i="34"/>
  <c r="AS60" i="34" s="1"/>
  <c r="AT59" i="34"/>
  <c r="AS59" i="34" s="1"/>
  <c r="AT58" i="34"/>
  <c r="AS58" i="34" s="1"/>
  <c r="AT57" i="34"/>
  <c r="AS57" i="34" s="1"/>
  <c r="AT56" i="34"/>
  <c r="AS56" i="34" s="1"/>
  <c r="AT55" i="34"/>
  <c r="AS55" i="34" s="1"/>
  <c r="AT54" i="34"/>
  <c r="AS54" i="34" s="1"/>
  <c r="AT53" i="34"/>
  <c r="AS53" i="34" s="1"/>
  <c r="AT52" i="34"/>
  <c r="AS52" i="34" s="1"/>
  <c r="AZ71" i="34"/>
  <c r="AY71" i="34" s="1"/>
  <c r="AZ70" i="34"/>
  <c r="AY70" i="34" s="1"/>
  <c r="AZ69" i="34"/>
  <c r="AY69" i="34" s="1"/>
  <c r="AZ68" i="34"/>
  <c r="AY68" i="34" s="1"/>
  <c r="AZ67" i="34"/>
  <c r="AY67" i="34" s="1"/>
  <c r="AZ66" i="34"/>
  <c r="AY66" i="34" s="1"/>
  <c r="AZ65" i="34"/>
  <c r="AY65" i="34" s="1"/>
  <c r="AZ64" i="34"/>
  <c r="AY64" i="34" s="1"/>
  <c r="AZ63" i="34"/>
  <c r="AY63" i="34" s="1"/>
  <c r="AZ62" i="34"/>
  <c r="AY62" i="34" s="1"/>
  <c r="AZ61" i="34"/>
  <c r="AY61" i="34" s="1"/>
  <c r="AZ60" i="34"/>
  <c r="AY60" i="34" s="1"/>
  <c r="AZ59" i="34"/>
  <c r="AY59" i="34" s="1"/>
  <c r="AZ58" i="34"/>
  <c r="AY58" i="34" s="1"/>
  <c r="AZ57" i="34"/>
  <c r="AY57" i="34" s="1"/>
  <c r="AZ56" i="34"/>
  <c r="AY56" i="34" s="1"/>
  <c r="AZ55" i="34"/>
  <c r="AY55" i="34" s="1"/>
  <c r="AZ54" i="34"/>
  <c r="AY54" i="34" s="1"/>
  <c r="AZ53" i="34"/>
  <c r="AY53" i="34" s="1"/>
  <c r="AZ52" i="34"/>
  <c r="AY52" i="34" s="1"/>
  <c r="AT51" i="34"/>
  <c r="AS51" i="34" s="1"/>
  <c r="AZ51" i="34"/>
  <c r="AY51" i="34" s="1"/>
  <c r="AT49" i="34"/>
  <c r="AS49" i="34" s="1"/>
  <c r="AT48" i="34"/>
  <c r="AS48" i="34" s="1"/>
  <c r="AT47" i="34"/>
  <c r="AS47" i="34" s="1"/>
  <c r="AT46" i="34"/>
  <c r="AS46" i="34" s="1"/>
  <c r="AT45" i="34"/>
  <c r="AS45" i="34" s="1"/>
  <c r="AT44" i="34"/>
  <c r="AS44" i="34" s="1"/>
  <c r="AT43" i="34"/>
  <c r="AS43" i="34" s="1"/>
  <c r="AT42" i="34"/>
  <c r="AS42" i="34" s="1"/>
  <c r="AT41" i="34"/>
  <c r="AS41" i="34" s="1"/>
  <c r="AT40" i="34"/>
  <c r="AS40" i="34" s="1"/>
  <c r="AT39" i="34"/>
  <c r="AS39" i="34" s="1"/>
  <c r="AT38" i="34"/>
  <c r="AS38" i="34" s="1"/>
  <c r="AT37" i="34"/>
  <c r="AS37" i="34" s="1"/>
  <c r="AT36" i="34"/>
  <c r="AS36" i="34" s="1"/>
  <c r="AT35" i="34"/>
  <c r="AS35" i="34" s="1"/>
  <c r="AT34" i="34"/>
  <c r="AS34" i="34" s="1"/>
  <c r="AT33" i="34"/>
  <c r="AS33" i="34" s="1"/>
  <c r="AT32" i="34"/>
  <c r="AS32" i="34" s="1"/>
  <c r="AT31" i="34"/>
  <c r="AS31" i="34" s="1"/>
  <c r="AT30" i="34"/>
  <c r="AS30" i="34" s="1"/>
  <c r="AV49" i="34"/>
  <c r="AU49" i="34" s="1"/>
  <c r="AV48" i="34"/>
  <c r="AU48" i="34" s="1"/>
  <c r="AV47" i="34"/>
  <c r="AU47" i="34" s="1"/>
  <c r="AV46" i="34"/>
  <c r="AU46" i="34" s="1"/>
  <c r="AV45" i="34"/>
  <c r="AU45" i="34" s="1"/>
  <c r="AV44" i="34"/>
  <c r="AU44" i="34" s="1"/>
  <c r="AV43" i="34"/>
  <c r="AU43" i="34" s="1"/>
  <c r="AV42" i="34"/>
  <c r="AU42" i="34" s="1"/>
  <c r="AV41" i="34"/>
  <c r="AU41" i="34" s="1"/>
  <c r="AV40" i="34"/>
  <c r="AU40" i="34" s="1"/>
  <c r="AV39" i="34"/>
  <c r="AU39" i="34" s="1"/>
  <c r="AV38" i="34"/>
  <c r="AU38" i="34" s="1"/>
  <c r="AV37" i="34"/>
  <c r="AU37" i="34" s="1"/>
  <c r="AV36" i="34"/>
  <c r="AU36" i="34" s="1"/>
  <c r="AV35" i="34"/>
  <c r="AU35" i="34" s="1"/>
  <c r="AV34" i="34"/>
  <c r="AU34" i="34" s="1"/>
  <c r="AV33" i="34"/>
  <c r="AU33" i="34" s="1"/>
  <c r="AV32" i="34"/>
  <c r="AU32" i="34" s="1"/>
  <c r="AV31" i="34"/>
  <c r="AU31" i="34" s="1"/>
  <c r="AV30" i="34"/>
  <c r="AU30" i="34" s="1"/>
  <c r="AO99" i="34"/>
  <c r="AE43" i="34" s="1"/>
  <c r="O43" i="34" s="1"/>
  <c r="AM98" i="34"/>
  <c r="AC41" i="34" s="1"/>
  <c r="G41" i="34" s="1"/>
  <c r="AO96" i="34"/>
  <c r="AE37" i="34" s="1"/>
  <c r="O37" i="34" s="1"/>
  <c r="AM96" i="34"/>
  <c r="AC37" i="34" s="1"/>
  <c r="G37" i="34" s="1"/>
  <c r="AV29" i="34"/>
  <c r="AU29" i="34" s="1"/>
  <c r="AV73" i="34"/>
  <c r="AU73" i="34" s="1"/>
  <c r="AZ107" i="34"/>
  <c r="AY107" i="34" s="1"/>
  <c r="AU107" i="34"/>
  <c r="H100" i="29"/>
  <c r="Q106" i="41" s="1"/>
  <c r="Q16" i="41" s="1"/>
  <c r="H99" i="29"/>
  <c r="Q105" i="41" s="1"/>
  <c r="Q15" i="41" s="1"/>
  <c r="G97" i="41"/>
  <c r="H97" i="41"/>
  <c r="Q36" i="41" s="1"/>
  <c r="D105" i="29"/>
  <c r="E106" i="29" s="1"/>
  <c r="Q104" i="41"/>
  <c r="Q14" i="41" s="1"/>
  <c r="A14" i="41" s="1"/>
  <c r="Q61" i="41" s="1"/>
  <c r="A61" i="41" s="1"/>
  <c r="A39" i="41"/>
  <c r="Q83" i="41" s="1"/>
  <c r="A83" i="41" s="1"/>
  <c r="Q35" i="41"/>
  <c r="A34" i="41"/>
  <c r="Q78" i="41" s="1"/>
  <c r="A78" i="41" s="1"/>
  <c r="AX62" i="34" l="1"/>
  <c r="AW62" i="34" s="1"/>
  <c r="AX61" i="34"/>
  <c r="AW61" i="34" s="1"/>
  <c r="AX60" i="34"/>
  <c r="AW60" i="34" s="1"/>
  <c r="AX59" i="34"/>
  <c r="AW59" i="34" s="1"/>
  <c r="AX58" i="34"/>
  <c r="AW58" i="34" s="1"/>
  <c r="AX57" i="34"/>
  <c r="AW57" i="34" s="1"/>
  <c r="AX56" i="34"/>
  <c r="AW56" i="34" s="1"/>
  <c r="AX71" i="34"/>
  <c r="AW71" i="34" s="1"/>
  <c r="AX55" i="34"/>
  <c r="AW55" i="34" s="1"/>
  <c r="AX70" i="34"/>
  <c r="AW70" i="34" s="1"/>
  <c r="AX54" i="34"/>
  <c r="AW54" i="34" s="1"/>
  <c r="AX69" i="34"/>
  <c r="AW69" i="34" s="1"/>
  <c r="AX53" i="34"/>
  <c r="AW53" i="34" s="1"/>
  <c r="AX68" i="34"/>
  <c r="AW68" i="34" s="1"/>
  <c r="AX52" i="34"/>
  <c r="AW52" i="34" s="1"/>
  <c r="AX67" i="34"/>
  <c r="AW67" i="34" s="1"/>
  <c r="AX66" i="34"/>
  <c r="AW66" i="34" s="1"/>
  <c r="AX51" i="34"/>
  <c r="AW51" i="34" s="1"/>
  <c r="AX65" i="34"/>
  <c r="AW65" i="34" s="1"/>
  <c r="AX64" i="34"/>
  <c r="AW64" i="34" s="1"/>
  <c r="AX63" i="34"/>
  <c r="AW63" i="34" s="1"/>
  <c r="AO183" i="34"/>
  <c r="AR160" i="34" s="1"/>
  <c r="AR107" i="34"/>
  <c r="AQ107" i="34" s="1"/>
  <c r="AR110" i="34"/>
  <c r="AQ110" i="34" s="1"/>
  <c r="AR125" i="34"/>
  <c r="AQ125" i="34" s="1"/>
  <c r="AR124" i="34"/>
  <c r="AQ124" i="34" s="1"/>
  <c r="AR119" i="34"/>
  <c r="AQ119" i="34" s="1"/>
  <c r="AR138" i="34"/>
  <c r="AQ138" i="34" s="1"/>
  <c r="AR131" i="34"/>
  <c r="AQ131" i="34" s="1"/>
  <c r="AR121" i="34"/>
  <c r="AQ121" i="34" s="1"/>
  <c r="AR120" i="34"/>
  <c r="AQ120" i="34" s="1"/>
  <c r="AR134" i="34"/>
  <c r="AQ134" i="34" s="1"/>
  <c r="AR127" i="34"/>
  <c r="AQ127" i="34" s="1"/>
  <c r="AR117" i="34"/>
  <c r="AQ117" i="34" s="1"/>
  <c r="AR116" i="34"/>
  <c r="AQ116" i="34" s="1"/>
  <c r="AR130" i="34"/>
  <c r="AQ130" i="34" s="1"/>
  <c r="AR123" i="34"/>
  <c r="AQ123" i="34" s="1"/>
  <c r="AR113" i="34"/>
  <c r="AQ113" i="34" s="1"/>
  <c r="AR112" i="34"/>
  <c r="AQ112" i="34" s="1"/>
  <c r="AR126" i="34"/>
  <c r="AQ126" i="34" s="1"/>
  <c r="AR135" i="34"/>
  <c r="AQ135" i="34" s="1"/>
  <c r="AR109" i="34"/>
  <c r="AQ109" i="34" s="1"/>
  <c r="AR108" i="34"/>
  <c r="AQ108" i="34" s="1"/>
  <c r="AR122" i="34"/>
  <c r="AQ122" i="34" s="1"/>
  <c r="AR137" i="34"/>
  <c r="AQ137" i="34" s="1"/>
  <c r="AR136" i="34"/>
  <c r="AQ136" i="34" s="1"/>
  <c r="AR139" i="34"/>
  <c r="AQ139" i="34" s="1"/>
  <c r="AR118" i="34"/>
  <c r="AQ118" i="34" s="1"/>
  <c r="AR133" i="34"/>
  <c r="AQ133" i="34" s="1"/>
  <c r="AR132" i="34"/>
  <c r="AQ132" i="34" s="1"/>
  <c r="AR111" i="34"/>
  <c r="AQ111" i="34" s="1"/>
  <c r="AR114" i="34"/>
  <c r="AQ114" i="34" s="1"/>
  <c r="AR129" i="34"/>
  <c r="AQ129" i="34" s="1"/>
  <c r="AR128" i="34"/>
  <c r="AQ128" i="34" s="1"/>
  <c r="AR115" i="34"/>
  <c r="AQ115" i="34" s="1"/>
  <c r="AT103" i="34"/>
  <c r="AS103" i="34" s="1"/>
  <c r="AT95" i="34"/>
  <c r="AS95" i="34" s="1"/>
  <c r="AT87" i="34"/>
  <c r="AS87" i="34" s="1"/>
  <c r="AT79" i="34"/>
  <c r="AS79" i="34" s="1"/>
  <c r="AT78" i="34"/>
  <c r="AS78" i="34" s="1"/>
  <c r="AT101" i="34"/>
  <c r="AS101" i="34" s="1"/>
  <c r="AT93" i="34"/>
  <c r="AS93" i="34" s="1"/>
  <c r="AT85" i="34"/>
  <c r="AS85" i="34" s="1"/>
  <c r="AT77" i="34"/>
  <c r="AS77" i="34" s="1"/>
  <c r="AT104" i="34"/>
  <c r="AS104" i="34" s="1"/>
  <c r="AT80" i="34"/>
  <c r="AS80" i="34" s="1"/>
  <c r="AT102" i="34"/>
  <c r="AS102" i="34" s="1"/>
  <c r="AT94" i="34"/>
  <c r="AS94" i="34" s="1"/>
  <c r="AT86" i="34"/>
  <c r="AS86" i="34" s="1"/>
  <c r="AT88" i="34"/>
  <c r="AS88" i="34" s="1"/>
  <c r="AT100" i="34"/>
  <c r="AS100" i="34" s="1"/>
  <c r="AT92" i="34"/>
  <c r="AS92" i="34" s="1"/>
  <c r="AT84" i="34"/>
  <c r="AS84" i="34" s="1"/>
  <c r="AT76" i="34"/>
  <c r="AS76" i="34" s="1"/>
  <c r="AT73" i="34"/>
  <c r="AS73" i="34" s="1"/>
  <c r="AT96" i="34"/>
  <c r="AS96" i="34" s="1"/>
  <c r="AT99" i="34"/>
  <c r="AS99" i="34" s="1"/>
  <c r="AT91" i="34"/>
  <c r="AS91" i="34" s="1"/>
  <c r="AT83" i="34"/>
  <c r="AS83" i="34" s="1"/>
  <c r="AT75" i="34"/>
  <c r="AS75" i="34" s="1"/>
  <c r="AT98" i="34"/>
  <c r="AS98" i="34" s="1"/>
  <c r="AT90" i="34"/>
  <c r="AS90" i="34" s="1"/>
  <c r="AT82" i="34"/>
  <c r="AS82" i="34" s="1"/>
  <c r="AT74" i="34"/>
  <c r="AS74" i="34" s="1"/>
  <c r="AT105" i="34"/>
  <c r="AS105" i="34" s="1"/>
  <c r="AT97" i="34"/>
  <c r="AS97" i="34" s="1"/>
  <c r="AT89" i="34"/>
  <c r="AS89" i="34" s="1"/>
  <c r="AT81" i="34"/>
  <c r="AS81" i="34" s="1"/>
  <c r="AX104" i="34"/>
  <c r="AW104" i="34" s="1"/>
  <c r="AX96" i="34"/>
  <c r="AW96" i="34" s="1"/>
  <c r="AX88" i="34"/>
  <c r="AW88" i="34" s="1"/>
  <c r="AX80" i="34"/>
  <c r="AW80" i="34" s="1"/>
  <c r="AX103" i="34"/>
  <c r="AW103" i="34" s="1"/>
  <c r="AX95" i="34"/>
  <c r="AW95" i="34" s="1"/>
  <c r="AX87" i="34"/>
  <c r="AW87" i="34" s="1"/>
  <c r="AX79" i="34"/>
  <c r="AW79" i="34" s="1"/>
  <c r="AX102" i="34"/>
  <c r="AW102" i="34" s="1"/>
  <c r="AX94" i="34"/>
  <c r="AW94" i="34" s="1"/>
  <c r="AX86" i="34"/>
  <c r="AW86" i="34" s="1"/>
  <c r="AX78" i="34"/>
  <c r="AW78" i="34" s="1"/>
  <c r="AX101" i="34"/>
  <c r="AW101" i="34" s="1"/>
  <c r="AX93" i="34"/>
  <c r="AW93" i="34" s="1"/>
  <c r="AX85" i="34"/>
  <c r="AW85" i="34" s="1"/>
  <c r="AX77" i="34"/>
  <c r="AW77" i="34" s="1"/>
  <c r="AX98" i="34"/>
  <c r="AW98" i="34" s="1"/>
  <c r="AX90" i="34"/>
  <c r="AW90" i="34" s="1"/>
  <c r="AX82" i="34"/>
  <c r="AW82" i="34" s="1"/>
  <c r="AX74" i="34"/>
  <c r="AW74" i="34" s="1"/>
  <c r="AX100" i="34"/>
  <c r="AW100" i="34" s="1"/>
  <c r="AX92" i="34"/>
  <c r="AW92" i="34" s="1"/>
  <c r="AX84" i="34"/>
  <c r="AW84" i="34" s="1"/>
  <c r="AX76" i="34"/>
  <c r="AW76" i="34" s="1"/>
  <c r="AX99" i="34"/>
  <c r="AW99" i="34" s="1"/>
  <c r="AX91" i="34"/>
  <c r="AW91" i="34" s="1"/>
  <c r="AX83" i="34"/>
  <c r="AW83" i="34" s="1"/>
  <c r="AX75" i="34"/>
  <c r="AW75" i="34" s="1"/>
  <c r="AX105" i="34"/>
  <c r="AW105" i="34" s="1"/>
  <c r="AX97" i="34"/>
  <c r="AW97" i="34" s="1"/>
  <c r="AX89" i="34"/>
  <c r="AW89" i="34" s="1"/>
  <c r="AX81" i="34"/>
  <c r="AW81" i="34" s="1"/>
  <c r="AO150" i="34"/>
  <c r="AR158" i="34" s="1"/>
  <c r="T96" i="46"/>
  <c r="K121" i="46" s="1"/>
  <c r="I130" i="46" s="1"/>
  <c r="AO155" i="34"/>
  <c r="AT29" i="34"/>
  <c r="AS29" i="34" s="1"/>
  <c r="G16" i="41"/>
  <c r="G15" i="41"/>
  <c r="A16" i="41"/>
  <c r="Q63" i="41" s="1"/>
  <c r="A63" i="41" s="1"/>
  <c r="A15" i="41"/>
  <c r="Q62" i="41" s="1"/>
  <c r="A62" i="41" s="1"/>
  <c r="D107" i="29"/>
  <c r="G106" i="29"/>
  <c r="A35" i="41"/>
  <c r="Q79" i="41" s="1"/>
  <c r="A79" i="41" s="1"/>
  <c r="Q37" i="41"/>
  <c r="D36" i="41"/>
  <c r="A36" i="41"/>
  <c r="Q80" i="41" s="1"/>
  <c r="A80" i="41" s="1"/>
  <c r="G14" i="41"/>
  <c r="H132" i="46" l="1"/>
  <c r="H130" i="46"/>
  <c r="M130" i="46"/>
  <c r="H131" i="46"/>
  <c r="K125" i="46"/>
  <c r="Z90" i="46"/>
  <c r="AR159" i="34"/>
  <c r="A37" i="41"/>
  <c r="Q81" i="41" s="1"/>
  <c r="A81" i="41" s="1"/>
  <c r="H106" i="29"/>
  <c r="M106" i="29" s="1"/>
  <c r="G98" i="41"/>
  <c r="E107" i="29"/>
  <c r="D108" i="29" s="1"/>
  <c r="B128" i="46" l="1"/>
  <c r="K126" i="46"/>
  <c r="Z91" i="46"/>
  <c r="Y117" i="46" s="1"/>
  <c r="E108" i="29"/>
  <c r="D109" i="29" s="1"/>
  <c r="G107" i="29"/>
  <c r="D10" i="29"/>
  <c r="H98" i="41"/>
  <c r="M98" i="41" s="1"/>
  <c r="E40" i="46" l="1"/>
  <c r="C137" i="46" s="1"/>
  <c r="Z121" i="46"/>
  <c r="Z122" i="46"/>
  <c r="Z119" i="46"/>
  <c r="Z120" i="46"/>
  <c r="Z117" i="46"/>
  <c r="Z118" i="46"/>
  <c r="A10" i="41"/>
  <c r="Q57" i="41" s="1"/>
  <c r="A57" i="41" s="1"/>
  <c r="A17" i="41"/>
  <c r="Q64" i="41" s="1"/>
  <c r="A64" i="41" s="1"/>
  <c r="A13" i="41"/>
  <c r="Q60" i="41" s="1"/>
  <c r="A60" i="41" s="1"/>
  <c r="A11" i="41"/>
  <c r="Q58" i="41" s="1"/>
  <c r="A58" i="41" s="1"/>
  <c r="A12" i="41"/>
  <c r="Q59" i="41" s="1"/>
  <c r="A59" i="41" s="1"/>
  <c r="D11" i="41"/>
  <c r="D10" i="41"/>
  <c r="D13" i="41"/>
  <c r="Q8" i="41"/>
  <c r="D7" i="41" s="1"/>
  <c r="E109" i="29"/>
  <c r="D110" i="29" s="1"/>
  <c r="H107" i="29"/>
  <c r="M107" i="29" s="1"/>
  <c r="K107" i="29"/>
  <c r="G99" i="41"/>
  <c r="K99" i="41" s="1"/>
  <c r="G108" i="29"/>
  <c r="S123" i="46" l="1"/>
  <c r="D8" i="41"/>
  <c r="E110" i="29"/>
  <c r="D111" i="29" s="1"/>
  <c r="G109" i="29"/>
  <c r="H108" i="29"/>
  <c r="M108" i="29" s="1"/>
  <c r="K108" i="29"/>
  <c r="G100" i="41"/>
  <c r="K100" i="41" s="1"/>
  <c r="H99" i="41"/>
  <c r="M99" i="41" s="1"/>
  <c r="P123" i="46" l="1"/>
  <c r="H109" i="29"/>
  <c r="M109" i="29" s="1"/>
  <c r="K109" i="29"/>
  <c r="G101" i="41"/>
  <c r="K101" i="41" s="1"/>
  <c r="H100" i="41"/>
  <c r="M100" i="41" s="1"/>
  <c r="E111" i="29"/>
  <c r="D112" i="29" s="1"/>
  <c r="G110" i="29"/>
  <c r="Q23" i="41"/>
  <c r="R32" i="46" l="1"/>
  <c r="D32" i="46" s="1"/>
  <c r="R33" i="46"/>
  <c r="D33" i="46" s="1"/>
  <c r="R30" i="46"/>
  <c r="D30" i="46" s="1"/>
  <c r="R31" i="46"/>
  <c r="D31" i="46" s="1"/>
  <c r="R28" i="46"/>
  <c r="D28" i="46" s="1"/>
  <c r="R29" i="46"/>
  <c r="D29" i="46" s="1"/>
  <c r="R26" i="46"/>
  <c r="D26" i="46" s="1"/>
  <c r="R27" i="46"/>
  <c r="D27" i="46" s="1"/>
  <c r="R24" i="46"/>
  <c r="D24" i="46" s="1"/>
  <c r="R25" i="46"/>
  <c r="D25" i="46" s="1"/>
  <c r="R22" i="46"/>
  <c r="D22" i="46" s="1"/>
  <c r="R23" i="46"/>
  <c r="D23" i="46" s="1"/>
  <c r="R20" i="46"/>
  <c r="D20" i="46" s="1"/>
  <c r="R21" i="46"/>
  <c r="D21" i="46" s="1"/>
  <c r="R18" i="46"/>
  <c r="D18" i="46" s="1"/>
  <c r="R19" i="46"/>
  <c r="D19" i="46" s="1"/>
  <c r="R16" i="46"/>
  <c r="D16" i="46" s="1"/>
  <c r="R17" i="46"/>
  <c r="D17" i="46" s="1"/>
  <c r="R14" i="46"/>
  <c r="D14" i="46" s="1"/>
  <c r="R15" i="46"/>
  <c r="D15" i="46" s="1"/>
  <c r="R12" i="46"/>
  <c r="D12" i="46" s="1"/>
  <c r="R13" i="46"/>
  <c r="D13" i="46" s="1"/>
  <c r="R10" i="46"/>
  <c r="D10" i="46" s="1"/>
  <c r="R11" i="46"/>
  <c r="D11" i="46" s="1"/>
  <c r="R8" i="46"/>
  <c r="D8" i="46" s="1"/>
  <c r="R9" i="46"/>
  <c r="D9" i="46" s="1"/>
  <c r="R7" i="46"/>
  <c r="D7" i="46" s="1"/>
  <c r="Q24" i="41"/>
  <c r="J23" i="41"/>
  <c r="K23" i="41"/>
  <c r="A23" i="41"/>
  <c r="Q67" i="41" s="1"/>
  <c r="A67" i="41" s="1"/>
  <c r="G102" i="41"/>
  <c r="K102" i="41" s="1"/>
  <c r="K110" i="29"/>
  <c r="H110" i="29"/>
  <c r="M110" i="29" s="1"/>
  <c r="H101" i="41"/>
  <c r="M101" i="41" s="1"/>
  <c r="E112" i="29"/>
  <c r="D113" i="29" s="1"/>
  <c r="G111" i="29"/>
  <c r="G112" i="29" l="1"/>
  <c r="G104" i="41" s="1"/>
  <c r="K104" i="41" s="1"/>
  <c r="H102" i="41"/>
  <c r="M102" i="41" s="1"/>
  <c r="K24" i="41"/>
  <c r="J24" i="41"/>
  <c r="A24" i="41"/>
  <c r="Q68" i="41" s="1"/>
  <c r="A68" i="41" s="1"/>
  <c r="E113" i="29"/>
  <c r="D114" i="29" s="1"/>
  <c r="K111" i="29"/>
  <c r="H111" i="29"/>
  <c r="M111" i="29" s="1"/>
  <c r="G103" i="41"/>
  <c r="K103" i="41" s="1"/>
  <c r="Q25" i="41"/>
  <c r="H112" i="29" l="1"/>
  <c r="K112" i="29"/>
  <c r="H103" i="41"/>
  <c r="M103" i="41" s="1"/>
  <c r="K25" i="41"/>
  <c r="J25" i="41"/>
  <c r="A25" i="41"/>
  <c r="Q69" i="41" s="1"/>
  <c r="A69" i="41" s="1"/>
  <c r="Q26" i="41"/>
  <c r="E114" i="29"/>
  <c r="D115" i="29" s="1"/>
  <c r="G113" i="29"/>
  <c r="H104" i="41" l="1"/>
  <c r="M104" i="41" s="1"/>
  <c r="M112" i="29"/>
  <c r="G114" i="29"/>
  <c r="K114" i="29" s="1"/>
  <c r="J26" i="41"/>
  <c r="K26" i="41"/>
  <c r="A26" i="41"/>
  <c r="Q70" i="41" s="1"/>
  <c r="A70" i="41" s="1"/>
  <c r="Q27" i="41"/>
  <c r="Q28" i="41"/>
  <c r="K113" i="29"/>
  <c r="H113" i="29"/>
  <c r="M113" i="29" s="1"/>
  <c r="G105" i="41"/>
  <c r="K105" i="41" s="1"/>
  <c r="E115" i="29"/>
  <c r="D116" i="29" s="1"/>
  <c r="G106" i="41" l="1"/>
  <c r="K106" i="41" s="1"/>
  <c r="H114" i="29"/>
  <c r="K28" i="41"/>
  <c r="J28" i="41"/>
  <c r="A28" i="41"/>
  <c r="Q72" i="41" s="1"/>
  <c r="A72" i="41" s="1"/>
  <c r="E116" i="29"/>
  <c r="G116" i="29" s="1"/>
  <c r="G115" i="29"/>
  <c r="J27" i="41"/>
  <c r="K27" i="41"/>
  <c r="A27" i="41"/>
  <c r="Q71" i="41" s="1"/>
  <c r="A71" i="41" s="1"/>
  <c r="H105" i="41"/>
  <c r="M105" i="41" s="1"/>
  <c r="H106" i="41" l="1"/>
  <c r="M106" i="41" s="1"/>
  <c r="M114" i="29"/>
  <c r="K116" i="29"/>
  <c r="H116" i="29"/>
  <c r="M116" i="29" s="1"/>
  <c r="G108" i="41"/>
  <c r="K108" i="41" s="1"/>
  <c r="K115" i="29"/>
  <c r="H115" i="29"/>
  <c r="M115" i="29" s="1"/>
  <c r="G107" i="41"/>
  <c r="K107" i="41" s="1"/>
  <c r="Q30" i="41"/>
  <c r="Q29" i="41"/>
  <c r="K30" i="41" l="1"/>
  <c r="J30" i="41"/>
  <c r="A30" i="41"/>
  <c r="Q74" i="41" s="1"/>
  <c r="A74" i="41" s="1"/>
  <c r="H107" i="41"/>
  <c r="M107" i="41" s="1"/>
  <c r="J29" i="41"/>
  <c r="K29" i="41"/>
  <c r="A29" i="41"/>
  <c r="Q73" i="41" s="1"/>
  <c r="A73" i="41" s="1"/>
  <c r="K98" i="41"/>
  <c r="H108" i="41"/>
  <c r="M108" i="41" s="1"/>
  <c r="K106" i="29"/>
  <c r="L115" i="29" s="1"/>
  <c r="L116" i="29" l="1"/>
  <c r="L108" i="41"/>
  <c r="Q32" i="41"/>
  <c r="L107" i="41"/>
  <c r="Q31" i="41"/>
  <c r="L99" i="41"/>
  <c r="L23" i="41" s="1"/>
  <c r="L100" i="41"/>
  <c r="L24" i="41" s="1"/>
  <c r="L101" i="41"/>
  <c r="L25" i="41" s="1"/>
  <c r="L102" i="41"/>
  <c r="L26" i="41" s="1"/>
  <c r="L103" i="41"/>
  <c r="L27" i="41" s="1"/>
  <c r="L104" i="41"/>
  <c r="L28" i="41" s="1"/>
  <c r="L106" i="41"/>
  <c r="L30" i="41" s="1"/>
  <c r="L105" i="41"/>
  <c r="L29" i="41" s="1"/>
  <c r="L107" i="29"/>
  <c r="L108" i="29"/>
  <c r="L109" i="29"/>
  <c r="L110" i="29"/>
  <c r="L112" i="29"/>
  <c r="L111" i="29"/>
  <c r="L113" i="29"/>
  <c r="L114" i="29"/>
  <c r="Q33" i="41" l="1"/>
  <c r="A33" i="41" s="1"/>
  <c r="Q77" i="41" s="1"/>
  <c r="A77" i="41" s="1"/>
  <c r="L31" i="41"/>
  <c r="K31" i="41"/>
  <c r="J31" i="41"/>
  <c r="A31" i="41"/>
  <c r="Q75" i="41" s="1"/>
  <c r="A75" i="41" s="1"/>
  <c r="L32" i="41"/>
  <c r="J32" i="41"/>
  <c r="K32" i="41"/>
  <c r="A32" i="41"/>
  <c r="Q76" i="41" s="1"/>
  <c r="A76" i="41" s="1"/>
  <c r="D34" i="41"/>
  <c r="D23" i="41" l="1"/>
  <c r="S53" i="29" l="1"/>
  <c r="S60" i="29" l="1"/>
  <c r="S65" i="29"/>
  <c r="S63" i="29"/>
  <c r="S62" i="29"/>
  <c r="S64" i="29"/>
  <c r="S61" i="29"/>
  <c r="S47" i="29"/>
  <c r="S46" i="29"/>
  <c r="S50" i="29"/>
  <c r="R65" i="64" l="1"/>
  <c r="R71" i="64" l="1"/>
  <c r="R77" i="64"/>
  <c r="R83" i="64"/>
  <c r="R89" i="64"/>
  <c r="R95" i="64"/>
  <c r="R101" i="64"/>
  <c r="R107" i="64"/>
  <c r="R113" i="64"/>
  <c r="R119" i="64"/>
  <c r="S137" i="64" l="1"/>
  <c r="S140" i="64"/>
  <c r="S143" i="64" l="1"/>
  <c r="S146" i="64" s="1"/>
  <c r="R126" i="64" l="1"/>
  <c r="R127" i="64" l="1"/>
  <c r="R128" i="64" s="1"/>
  <c r="R129" i="64" l="1"/>
  <c r="R130" i="64" l="1"/>
  <c r="R131" i="64" s="1"/>
  <c r="R132" i="64" s="1"/>
  <c r="R133" i="64" l="1"/>
  <c r="R134" i="64" l="1"/>
  <c r="R135" i="64" l="1"/>
  <c r="R136" i="64" s="1"/>
  <c r="R137" i="64" s="1"/>
  <c r="R138" i="64" s="1"/>
  <c r="R139" i="64" s="1"/>
  <c r="R140" i="64" s="1"/>
  <c r="R141" i="64" s="1"/>
  <c r="R142" i="64" s="1"/>
  <c r="R143" i="64" s="1"/>
  <c r="R144" i="64" s="1"/>
  <c r="R145" i="64" s="1"/>
  <c r="R146" i="64" s="1"/>
  <c r="R147" i="64" s="1"/>
  <c r="R148" i="64" s="1"/>
  <c r="R149" i="64" s="1"/>
  <c r="R150" i="64" s="1"/>
  <c r="R151" i="64" s="1"/>
  <c r="R152" i="64" s="1"/>
  <c r="R153" i="64" s="1"/>
  <c r="R154" i="64" s="1"/>
  <c r="R155" i="64" s="1"/>
  <c r="R156" i="64" s="1"/>
  <c r="R157" i="64" s="1"/>
  <c r="R158" i="64" s="1"/>
  <c r="R159" i="64" s="1"/>
  <c r="R160" i="64" s="1"/>
  <c r="R161" i="64" s="1"/>
  <c r="R162" i="64" s="1"/>
  <c r="R163" i="64" s="1"/>
  <c r="R164" i="64" s="1"/>
  <c r="R165" i="64" s="1"/>
  <c r="R166" i="64" s="1"/>
  <c r="R167" i="64" s="1"/>
  <c r="R168" i="64" s="1"/>
  <c r="R169" i="64" s="1"/>
  <c r="R170" i="64" s="1"/>
  <c r="R171" i="64" s="1"/>
  <c r="R172" i="64" s="1"/>
  <c r="R173" i="64" s="1"/>
  <c r="R174" i="64" s="1"/>
  <c r="R175" i="64" s="1"/>
  <c r="R176" i="64" s="1"/>
  <c r="R177" i="64" s="1"/>
  <c r="R178" i="64" s="1"/>
  <c r="R179" i="64" s="1"/>
  <c r="R180" i="64" s="1"/>
  <c r="R181" i="64" s="1"/>
  <c r="R182" i="64" s="1"/>
  <c r="R183" i="64" s="1"/>
  <c r="R184" i="64" s="1"/>
  <c r="R185" i="64" s="1"/>
  <c r="R186" i="64" s="1"/>
  <c r="R187" i="64" s="1"/>
  <c r="A221" i="62"/>
  <c r="A222" i="62" s="1"/>
  <c r="A223" i="62" s="1"/>
  <c r="A224" i="62" s="1"/>
  <c r="A225" i="62" s="1"/>
  <c r="A226" i="62" s="1"/>
  <c r="A227" i="62" s="1"/>
  <c r="A228" i="62" s="1"/>
  <c r="A229" i="62" s="1"/>
  <c r="A230" i="62" s="1"/>
  <c r="A231" i="62" s="1"/>
  <c r="A232" i="62" s="1"/>
  <c r="A233" i="62" s="1"/>
  <c r="A234" i="62" s="1"/>
  <c r="A235" i="62" s="1"/>
  <c r="A236" i="62" s="1"/>
  <c r="A237" i="62" s="1"/>
  <c r="A238" i="62" s="1"/>
  <c r="A239" i="62" s="1"/>
  <c r="A240" i="62" s="1"/>
  <c r="A241" i="62" s="1"/>
  <c r="A242" i="62" s="1"/>
  <c r="A243" i="62" s="1"/>
  <c r="A244" i="62" s="1"/>
  <c r="A245" i="62" s="1"/>
  <c r="A246" i="62" s="1"/>
  <c r="A247" i="62" s="1"/>
  <c r="A248" i="62" s="1"/>
  <c r="A249" i="62" s="1"/>
  <c r="A250" i="62" s="1"/>
  <c r="A251" i="62" s="1"/>
  <c r="A252" i="62" s="1"/>
  <c r="A253" i="62" s="1"/>
  <c r="A254" i="62" s="1"/>
  <c r="A255" i="62" s="1"/>
  <c r="A256" i="62" s="1"/>
  <c r="A257" i="62" s="1"/>
  <c r="A258" i="62" s="1"/>
  <c r="A259" i="62" s="1"/>
  <c r="A260" i="62" s="1"/>
  <c r="A261" i="62" s="1"/>
  <c r="A262" i="62" s="1"/>
  <c r="A263" i="62" s="1"/>
  <c r="A264" i="62" s="1"/>
  <c r="A265" i="62" s="1"/>
  <c r="A266" i="62" s="1"/>
  <c r="A267" i="62" s="1"/>
  <c r="A268" i="62" s="1"/>
  <c r="A269" i="62" s="1"/>
  <c r="A271" i="62" s="1"/>
  <c r="A272" i="62" s="1"/>
  <c r="A273" i="62" s="1"/>
  <c r="A274" i="62" s="1"/>
  <c r="A275" i="62" s="1"/>
  <c r="A276" i="62" s="1"/>
  <c r="A277" i="62" s="1"/>
  <c r="A278" i="62" s="1"/>
  <c r="A279" i="62" s="1"/>
  <c r="A280" i="62" s="1"/>
  <c r="S55" i="29" l="1"/>
  <c r="S52" i="29"/>
  <c r="S54" i="29"/>
  <c r="R23" i="29" l="1"/>
  <c r="R46" i="29" s="1"/>
  <c r="R41" i="29" l="1"/>
  <c r="D41" i="29" s="1"/>
  <c r="R32" i="29"/>
  <c r="D32" i="29" s="1"/>
  <c r="R57" i="29"/>
  <c r="E57" i="29" s="1"/>
  <c r="R40" i="29"/>
  <c r="E40" i="29" s="1"/>
  <c r="R67" i="29"/>
  <c r="D67" i="29" s="1"/>
  <c r="R65" i="29"/>
  <c r="D65" i="29" s="1"/>
  <c r="R34" i="29"/>
  <c r="E34" i="29" s="1"/>
  <c r="R64" i="29"/>
  <c r="D64" i="29" s="1"/>
  <c r="R43" i="29"/>
  <c r="E43" i="29" s="1"/>
  <c r="R35" i="29"/>
  <c r="D35" i="29" s="1"/>
  <c r="R38" i="29"/>
  <c r="E38" i="29" s="1"/>
  <c r="R56" i="29"/>
  <c r="D56" i="29" s="1"/>
  <c r="R58" i="29"/>
  <c r="D58" i="29" s="1"/>
  <c r="R37" i="29"/>
  <c r="E37" i="29" s="1"/>
  <c r="R45" i="29"/>
  <c r="E45" i="29" s="1"/>
  <c r="R60" i="29"/>
  <c r="E60" i="29" s="1"/>
  <c r="R50" i="29"/>
  <c r="D50" i="29" s="1"/>
  <c r="R55" i="29"/>
  <c r="E55" i="29" s="1"/>
  <c r="R36" i="29"/>
  <c r="E36" i="29" s="1"/>
  <c r="R44" i="29"/>
  <c r="E44" i="29" s="1"/>
  <c r="R62" i="29"/>
  <c r="E62" i="29" s="1"/>
  <c r="R30" i="29"/>
  <c r="E30" i="29" s="1"/>
  <c r="R33" i="29"/>
  <c r="E33" i="29" s="1"/>
  <c r="R66" i="29"/>
  <c r="D66" i="29" s="1"/>
  <c r="R31" i="29"/>
  <c r="E31" i="29" s="1"/>
  <c r="R54" i="29"/>
  <c r="E54" i="29" s="1"/>
  <c r="R59" i="29"/>
  <c r="D59" i="29" s="1"/>
  <c r="R29" i="29"/>
  <c r="E29" i="29" s="1"/>
  <c r="R51" i="29"/>
  <c r="E51" i="29" s="1"/>
  <c r="R52" i="29"/>
  <c r="E52" i="29" s="1"/>
  <c r="R39" i="29"/>
  <c r="D39" i="29" s="1"/>
  <c r="R42" i="29"/>
  <c r="D42" i="29" s="1"/>
  <c r="R63" i="29"/>
  <c r="D63" i="29" s="1"/>
  <c r="R61" i="29"/>
  <c r="D61" i="29" s="1"/>
  <c r="R47" i="29"/>
  <c r="D47" i="29" s="1"/>
  <c r="R48" i="29"/>
  <c r="E48" i="29" s="1"/>
  <c r="R68" i="29"/>
  <c r="D68" i="29" s="1"/>
  <c r="R49" i="29"/>
  <c r="D49" i="29" s="1"/>
  <c r="R53" i="29"/>
  <c r="E53" i="29" s="1"/>
  <c r="E46" i="29"/>
  <c r="D46" i="29"/>
  <c r="E50" i="29" l="1"/>
  <c r="D40" i="29"/>
  <c r="D31" i="29"/>
  <c r="E32" i="29"/>
  <c r="E63" i="29"/>
  <c r="E67" i="29"/>
  <c r="D36" i="29"/>
  <c r="D30" i="29"/>
  <c r="D38" i="29"/>
  <c r="D60" i="29"/>
  <c r="D48" i="29"/>
  <c r="E35" i="29"/>
  <c r="D29" i="29"/>
  <c r="E59" i="29"/>
  <c r="D37" i="29"/>
  <c r="D57" i="29"/>
  <c r="D44" i="29"/>
  <c r="E65" i="29"/>
  <c r="E41" i="29"/>
  <c r="D43" i="29"/>
  <c r="E47" i="29"/>
  <c r="D33" i="29"/>
  <c r="E56" i="29"/>
  <c r="E61" i="29"/>
  <c r="D53" i="29"/>
  <c r="D54" i="29"/>
  <c r="D55" i="29"/>
  <c r="D34" i="29"/>
  <c r="E42" i="29"/>
  <c r="D45" i="29"/>
  <c r="E49" i="29"/>
  <c r="E39" i="29"/>
  <c r="D52" i="29"/>
  <c r="E66" i="29"/>
  <c r="E64" i="29"/>
  <c r="E68" i="29"/>
  <c r="D51" i="29"/>
  <c r="D62" i="29"/>
  <c r="E58" i="2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<sst xmlns="http://schemas.openxmlformats.org/spreadsheetml/2006/main" count="3748" uniqueCount="2502">
  <si>
    <t>Code</t>
  </si>
  <si>
    <t>Duitsland</t>
  </si>
  <si>
    <t>A</t>
  </si>
  <si>
    <t>B</t>
  </si>
  <si>
    <t>C</t>
  </si>
  <si>
    <t>D</t>
  </si>
  <si>
    <t>DE</t>
  </si>
  <si>
    <t>Nr.</t>
  </si>
  <si>
    <t>Wedstrijd</t>
  </si>
  <si>
    <t>Groep A</t>
  </si>
  <si>
    <t>Datum</t>
  </si>
  <si>
    <t>Tijd</t>
  </si>
  <si>
    <t>-</t>
  </si>
  <si>
    <t>Eindstand</t>
  </si>
  <si>
    <t>Groep B</t>
  </si>
  <si>
    <t>1/4 Finales</t>
  </si>
  <si>
    <t>:</t>
  </si>
  <si>
    <t>kies een land</t>
  </si>
  <si>
    <t>Nummer</t>
  </si>
  <si>
    <t>Team</t>
  </si>
  <si>
    <t>1/2 Finales</t>
  </si>
  <si>
    <t>Finale</t>
  </si>
  <si>
    <t>Groep C</t>
  </si>
  <si>
    <t>Groep D</t>
  </si>
  <si>
    <t>Sco. Thuis</t>
  </si>
  <si>
    <t>Sco. Uit</t>
  </si>
  <si>
    <t>Tea. Thuis</t>
  </si>
  <si>
    <t>Tea. Uit</t>
  </si>
  <si>
    <t>Goed ingevuld</t>
  </si>
  <si>
    <t>De Regels</t>
  </si>
  <si>
    <t>In gevallen waar het reglement niet in voorziet, beslist de wedstrijdleiding.</t>
  </si>
  <si>
    <t>Instellingen voor het reglement :</t>
  </si>
  <si>
    <t xml:space="preserve">De Code: </t>
  </si>
  <si>
    <t>Meerdere keren deelnemen aan de poule</t>
  </si>
  <si>
    <t>Euro's of Procenten</t>
  </si>
  <si>
    <t>Inleg</t>
  </si>
  <si>
    <t>Plaats 1</t>
  </si>
  <si>
    <t>Plaats 2</t>
  </si>
  <si>
    <t>Plaats 3</t>
  </si>
  <si>
    <t>Plaats 4</t>
  </si>
  <si>
    <t>Plaats 5</t>
  </si>
  <si>
    <t>Plaats 6</t>
  </si>
  <si>
    <t>Plaats 7</t>
  </si>
  <si>
    <t>Plaats 8</t>
  </si>
  <si>
    <t>Plaats 9</t>
  </si>
  <si>
    <t>Plaats 10</t>
  </si>
  <si>
    <t>Inlegsysteem (1=JA, 0=NEE)</t>
  </si>
  <si>
    <t>wel of niet meerdere deelnames</t>
  </si>
  <si>
    <t>wel of geen inleg systeem</t>
  </si>
  <si>
    <t>inleverdatum</t>
  </si>
  <si>
    <t>mei</t>
  </si>
  <si>
    <t>januari</t>
  </si>
  <si>
    <t>februari</t>
  </si>
  <si>
    <t>maart</t>
  </si>
  <si>
    <t>april</t>
  </si>
  <si>
    <t>juni</t>
  </si>
  <si>
    <t>juli</t>
  </si>
  <si>
    <t>augustus</t>
  </si>
  <si>
    <t>september</t>
  </si>
  <si>
    <t>oktober</t>
  </si>
  <si>
    <t>november</t>
  </si>
  <si>
    <t>december</t>
  </si>
  <si>
    <t>(de inleg)</t>
  </si>
  <si>
    <t>(1=euro's, 2=procenten)</t>
  </si>
  <si>
    <t>NEE</t>
  </si>
  <si>
    <t>JA</t>
  </si>
  <si>
    <t>CODE</t>
  </si>
  <si>
    <t>1.</t>
  </si>
  <si>
    <t>LET OP, GEEN LEESTEKENS GEBRUIKEN IN LANDAFKORTING. ENKEL HOOFDLETTERS</t>
  </si>
  <si>
    <t>=</t>
  </si>
  <si>
    <t>+</t>
  </si>
  <si>
    <t>De Puntentelling</t>
  </si>
  <si>
    <t>De Finalewedstrijden</t>
  </si>
  <si>
    <t>Rang</t>
  </si>
  <si>
    <t>ABCD</t>
  </si>
  <si>
    <t>Groep</t>
  </si>
  <si>
    <t>Maakt gebruik van Inleg Systeem</t>
  </si>
  <si>
    <t>Datum voor inleveren (DD-MM-YY)</t>
  </si>
  <si>
    <t>inlegsysteem</t>
  </si>
  <si>
    <t>inleveren via de mail</t>
  </si>
  <si>
    <t>persoonlijk inleveren</t>
  </si>
  <si>
    <t>Niet ingevuld</t>
  </si>
  <si>
    <t>Doelpunten voor</t>
  </si>
  <si>
    <t>Doelpunten tegen</t>
  </si>
  <si>
    <t>Deel 4, bonusvragen:</t>
  </si>
  <si>
    <t>Open vraag juist</t>
  </si>
  <si>
    <t>Benaderingsvraag juist</t>
  </si>
  <si>
    <t>Spreiding</t>
  </si>
  <si>
    <t>Stelling juist</t>
  </si>
  <si>
    <t>www.excel-pool.nl</t>
  </si>
  <si>
    <t>Fout ingevuld</t>
  </si>
  <si>
    <t xml:space="preserve">Bestand: </t>
  </si>
  <si>
    <t>Kolombreedte van kolom P = 0,08</t>
  </si>
  <si>
    <t>Poedelprijzen</t>
  </si>
  <si>
    <t>4.</t>
  </si>
  <si>
    <t>3.</t>
  </si>
  <si>
    <t>2.</t>
  </si>
  <si>
    <t xml:space="preserve">Versie: </t>
  </si>
  <si>
    <t>Punten</t>
  </si>
  <si>
    <t>Bonusvragen</t>
  </si>
  <si>
    <t>a</t>
  </si>
  <si>
    <t xml:space="preserve">Aantal deelnemers: </t>
  </si>
  <si>
    <t>Deel 3, de punten:</t>
  </si>
  <si>
    <t>Deel 2, de inleg:</t>
  </si>
  <si>
    <t xml:space="preserve">Reglement aanwezig: </t>
  </si>
  <si>
    <t>Groep E</t>
  </si>
  <si>
    <t>Groep F</t>
  </si>
  <si>
    <t>Groep G</t>
  </si>
  <si>
    <t>Groep H</t>
  </si>
  <si>
    <t>A1</t>
  </si>
  <si>
    <t>A2</t>
  </si>
  <si>
    <t>A3</t>
  </si>
  <si>
    <t>A4</t>
  </si>
  <si>
    <t>B1</t>
  </si>
  <si>
    <t>B2</t>
  </si>
  <si>
    <t>B3</t>
  </si>
  <si>
    <t>B4</t>
  </si>
  <si>
    <t>C1</t>
  </si>
  <si>
    <t>C2</t>
  </si>
  <si>
    <t>C3</t>
  </si>
  <si>
    <t>D1</t>
  </si>
  <si>
    <t>D2</t>
  </si>
  <si>
    <t>D3</t>
  </si>
  <si>
    <t>D4</t>
  </si>
  <si>
    <t>E1</t>
  </si>
  <si>
    <t>E2</t>
  </si>
  <si>
    <t>E3</t>
  </si>
  <si>
    <t>E4</t>
  </si>
  <si>
    <t>C4</t>
  </si>
  <si>
    <t>F1</t>
  </si>
  <si>
    <t>F2</t>
  </si>
  <si>
    <t>F3</t>
  </si>
  <si>
    <t>F4</t>
  </si>
  <si>
    <t>G1</t>
  </si>
  <si>
    <t>G2</t>
  </si>
  <si>
    <t>G3</t>
  </si>
  <si>
    <t>G4</t>
  </si>
  <si>
    <t>H1</t>
  </si>
  <si>
    <t>H2</t>
  </si>
  <si>
    <t>H3</t>
  </si>
  <si>
    <t>H4</t>
  </si>
  <si>
    <t>LAND</t>
  </si>
  <si>
    <t>AFKORTING</t>
  </si>
  <si>
    <t>Deel 1, de regels:</t>
  </si>
  <si>
    <t>CEL P3 IS NIET LEEG</t>
  </si>
  <si>
    <t>EERSTE TEKEN IN CL P3 IS "|"</t>
  </si>
  <si>
    <t>LAATSTE TEKEN IN CL P3 IS "|" OF "}"</t>
  </si>
  <si>
    <t>TYPE REGLEMENTCODE</t>
  </si>
  <si>
    <t>TYPE BESTAND</t>
  </si>
  <si>
    <t>Deel 3, de punten ontleden:</t>
  </si>
  <si>
    <t>Deel 1, de regels ontleden:</t>
  </si>
  <si>
    <t>Type reglementcode</t>
  </si>
  <si>
    <t>Deel 2, de inleg ontleden:</t>
  </si>
  <si>
    <t>Naam pool</t>
  </si>
  <si>
    <t>Naam beheerder</t>
  </si>
  <si>
    <t>E-mail beheerder</t>
  </si>
  <si>
    <t>punten TOTO bij Finalewedstrijden</t>
  </si>
  <si>
    <t>Winnaar juist</t>
  </si>
  <si>
    <t>TOTO juist</t>
  </si>
  <si>
    <t>Groepsfase juist</t>
  </si>
  <si>
    <t>1/8 Finalist juist</t>
  </si>
  <si>
    <t>1/4 Finalist juist</t>
  </si>
  <si>
    <t>1/2 Finalist juist</t>
  </si>
  <si>
    <t>Troostfinalist juist</t>
  </si>
  <si>
    <t>Finalist juist</t>
  </si>
  <si>
    <t>GELDIGE CODE (1=JA, 0=NEE)</t>
  </si>
  <si>
    <t>E</t>
  </si>
  <si>
    <t>G</t>
  </si>
  <si>
    <t>F</t>
  </si>
  <si>
    <t>H</t>
  </si>
  <si>
    <t>Troostfinale</t>
  </si>
  <si>
    <t>Alle tijden zijn Midden-Europese Tijd (UCT+1)</t>
  </si>
  <si>
    <t>REGLEMENT</t>
  </si>
  <si>
    <t>Doelpunten -</t>
  </si>
  <si>
    <t>Doelpunten +</t>
  </si>
  <si>
    <t>Afkorting</t>
  </si>
  <si>
    <t>DEELNAMECODE GROEPSFASE</t>
  </si>
  <si>
    <t>&lt;--- Keuze</t>
  </si>
  <si>
    <t>suggesties verbergen na keuze</t>
  </si>
  <si>
    <t>suggesties altijd weergeven</t>
  </si>
  <si>
    <t>Ingevuld</t>
  </si>
  <si>
    <t>Totale lengte van de groepscode ---&gt;</t>
  </si>
  <si>
    <t>Chronologisch</t>
  </si>
  <si>
    <t>Wedstrijden</t>
  </si>
  <si>
    <t>DEELNAMECODE GROEPSWEDSTRIJDEN</t>
  </si>
  <si>
    <t>Toelichting bij het Invullen</t>
  </si>
  <si>
    <t>Naam Controle :</t>
  </si>
  <si>
    <t>Naam Code :</t>
  </si>
  <si>
    <t>Naam Lengte :</t>
  </si>
  <si>
    <t>Codelengte</t>
  </si>
  <si>
    <t>Con. Naam</t>
  </si>
  <si>
    <t>Naam Zonder Spaties :</t>
  </si>
  <si>
    <t>Naamcode</t>
  </si>
  <si>
    <t>LENGTE</t>
  </si>
  <si>
    <t>Dubbele voorspelling  (0 = NEE, 1 = JA) --&gt;</t>
  </si>
  <si>
    <t>Extra tekens voor het sluiten van de code ---&gt;</t>
  </si>
  <si>
    <t>DEELNAMECODE FINALEWEDSTRIJDEN</t>
  </si>
  <si>
    <t>Controle finalecode  :</t>
  </si>
  <si>
    <t>Landen in één ronde meer dan één keer voorspellen?</t>
  </si>
  <si>
    <t>0 = NEE, 1 = JA</t>
  </si>
  <si>
    <t>CONTROLE FINALEWEDSTRIJDEN</t>
  </si>
  <si>
    <t>INSTELLINGEN</t>
  </si>
  <si>
    <t>Punten nr.1</t>
  </si>
  <si>
    <t>Punten nr.2</t>
  </si>
  <si>
    <t>Punten nr.3</t>
  </si>
  <si>
    <t>Punten nr.4</t>
  </si>
  <si>
    <t>EINDSTAND GROEP</t>
  </si>
  <si>
    <t>Landen 1e</t>
  </si>
  <si>
    <t>Landen 2e</t>
  </si>
  <si>
    <t>Landen 3e</t>
  </si>
  <si>
    <t>Landen 4e</t>
  </si>
  <si>
    <t>BEPALEN GROEPSWINNAARS</t>
  </si>
  <si>
    <t xml:space="preserve"> 1.</t>
  </si>
  <si>
    <t xml:space="preserve"> 2.</t>
  </si>
  <si>
    <t xml:space="preserve"> 3.</t>
  </si>
  <si>
    <t xml:space="preserve"> 4.</t>
  </si>
  <si>
    <t>Keuze nr.1</t>
  </si>
  <si>
    <t>Controle nr.1</t>
  </si>
  <si>
    <t>Keuze nr.2</t>
  </si>
  <si>
    <t>Controle nr.2</t>
  </si>
  <si>
    <t>Keuze nr.3</t>
  </si>
  <si>
    <t>Controle nr.3</t>
  </si>
  <si>
    <t>Keuze nr.4</t>
  </si>
  <si>
    <t>Controle nr.4</t>
  </si>
  <si>
    <t>Eindcontrole</t>
  </si>
  <si>
    <t>Dubbele Landen</t>
  </si>
  <si>
    <t>Elk land mag maar één keer ingevuld worden bij het voorspellen van de eindstand in de groep.</t>
  </si>
  <si>
    <t>SUGGESTIES EINDSTAND GROEP EN 1/8 FINALES</t>
  </si>
  <si>
    <t>Score +</t>
  </si>
  <si>
    <t>Score -</t>
  </si>
  <si>
    <t>Alles gespeeld</t>
  </si>
  <si>
    <t>Volgorde</t>
  </si>
  <si>
    <t>Volgorde zonder naam</t>
  </si>
  <si>
    <t>TOTO</t>
  </si>
  <si>
    <t>inclusief het inlegsysteem</t>
  </si>
  <si>
    <t>#d t/m #g</t>
  </si>
  <si>
    <t>inclusief bonusvragen</t>
  </si>
  <si>
    <t>#d, #f, #h en #j</t>
  </si>
  <si>
    <t>EXCEL invulversie</t>
  </si>
  <si>
    <t>#e, #g, #i en #k</t>
  </si>
  <si>
    <t>PDF invulversie</t>
  </si>
  <si>
    <t>d#, f#, h# en j#</t>
  </si>
  <si>
    <t>eindstand in de groep voorspellen</t>
  </si>
  <si>
    <t>d# t/m g#</t>
  </si>
  <si>
    <t>volledige uitslag in de groep voorspellen</t>
  </si>
  <si>
    <t>h# t/m k#</t>
  </si>
  <si>
    <t>enkel TOTO in de groep voorspellen</t>
  </si>
  <si>
    <t>f#, g#, j# en k#</t>
  </si>
  <si>
    <t>alleen landen in de finale wedstrijden voorspellen</t>
  </si>
  <si>
    <t>#d en #h</t>
  </si>
  <si>
    <t>d# en e#</t>
  </si>
  <si>
    <t>h# en i#</t>
  </si>
  <si>
    <t>volledige uitslag + landen in de finale wedstrijden voorspellen</t>
  </si>
  <si>
    <t>TOTO + landen in de finale wedstrijden voorspellen</t>
  </si>
  <si>
    <t>Score Groepswedstrijden</t>
  </si>
  <si>
    <t>Eindstand Groep</t>
  </si>
  <si>
    <t>TOTO Finalewedstrijden</t>
  </si>
  <si>
    <t>Score Finalewedstrijden</t>
  </si>
  <si>
    <t>Herkenningcode</t>
  </si>
  <si>
    <t>Weergave</t>
  </si>
  <si>
    <t>Wachtwoord</t>
  </si>
  <si>
    <t>01</t>
  </si>
  <si>
    <t>02</t>
  </si>
  <si>
    <t>03</t>
  </si>
  <si>
    <t>04</t>
  </si>
  <si>
    <t>05</t>
  </si>
  <si>
    <t>07</t>
  </si>
  <si>
    <t>06</t>
  </si>
  <si>
    <t>08</t>
  </si>
  <si>
    <t>Controle groepscode  :</t>
  </si>
  <si>
    <t>Controle Eindstandcode:</t>
  </si>
  <si>
    <t>Voor het voorspellen van de TOTO vult men een 1 in wanneer men denkt dat de thuisploeg zal winnen, een 2 als men denkt dat de uitploeg zal winnen en wanneer men een gelijkspel verwacht vult men een 3 in.</t>
  </si>
  <si>
    <t>1 winst voor de thuisploeg, 2 winst voor de uitploeg, 3 gelijkspel</t>
  </si>
  <si>
    <t>UITSLAG</t>
  </si>
  <si>
    <t>UITSLAG VOORSPELLEN</t>
  </si>
  <si>
    <t>TOTO VOORSPELLEN</t>
  </si>
  <si>
    <t>BRON INSTELLEN VOOR SUGGESTIES</t>
  </si>
  <si>
    <t>OPHALEN GEGEVENS UIT BRON</t>
  </si>
  <si>
    <t>SORTEREN OP RANG</t>
  </si>
  <si>
    <t>EINDSTAND GROEP VOORSPELLEN</t>
  </si>
  <si>
    <t>a.</t>
  </si>
  <si>
    <t>b.</t>
  </si>
  <si>
    <t>c.</t>
  </si>
  <si>
    <t>nr.</t>
  </si>
  <si>
    <t>a - thuis</t>
  </si>
  <si>
    <t>a - uit</t>
  </si>
  <si>
    <t>b - thuis</t>
  </si>
  <si>
    <t>b - uit</t>
  </si>
  <si>
    <t>c - thuis</t>
  </si>
  <si>
    <t>c - uit</t>
  </si>
  <si>
    <t>suggestie - thuis</t>
  </si>
  <si>
    <t>suggestie - uit</t>
  </si>
  <si>
    <t>BRON INSTELLEN VOOR
SUGGESTIES 1/8 FINALES</t>
  </si>
  <si>
    <t>bron instellen</t>
  </si>
  <si>
    <r>
      <rPr>
        <sz val="10"/>
        <color theme="0"/>
        <rFont val="Calibri"/>
        <family val="2"/>
      </rPr>
      <t>←</t>
    </r>
    <r>
      <rPr>
        <i/>
        <sz val="10"/>
        <color theme="0"/>
        <rFont val="Calibri"/>
        <family val="2"/>
        <scheme val="minor"/>
      </rPr>
      <t xml:space="preserve"> voorrang bij</t>
    </r>
  </si>
  <si>
    <t>De Openvragen</t>
  </si>
  <si>
    <t>De Benaderingsvragen</t>
  </si>
  <si>
    <t>De Stellingen</t>
  </si>
  <si>
    <t>5.</t>
  </si>
  <si>
    <t>Reglement aanwezig? (0 = Nee, 1 = Ja) --&gt;</t>
  </si>
  <si>
    <t>BRON INSTELLEN VOOR
SUGGESTIES BONUSVRAGEN</t>
  </si>
  <si>
    <t>Type reglement</t>
  </si>
  <si>
    <t>Groepswedstrijden - TOTO voorspellen</t>
  </si>
  <si>
    <t>Eindstand in de groep voorspellen</t>
  </si>
  <si>
    <t>Finale wedstrijden - uitslag voorspellen</t>
  </si>
  <si>
    <t>Finale wedstrijden - TOTO voorspellen</t>
  </si>
  <si>
    <t>Finale wedstrijden - landen voorspellen</t>
  </si>
  <si>
    <t>Groepswedstrijden - uitslag voorspellen</t>
  </si>
  <si>
    <t>Bron Groepswedstrijden:</t>
  </si>
  <si>
    <t>Bron Eindstand Groep:</t>
  </si>
  <si>
    <t>Bron Finale Wedstrijden:</t>
  </si>
  <si>
    <t>geen suggestie mogelijk</t>
  </si>
  <si>
    <t>GROEP</t>
  </si>
  <si>
    <t>TOTAAL</t>
  </si>
  <si>
    <t>BRONGEGEVENS VOOR BONUSVRAGEN</t>
  </si>
  <si>
    <t>A-B</t>
  </si>
  <si>
    <t>C-D</t>
  </si>
  <si>
    <t>E-F</t>
  </si>
  <si>
    <t>G-H</t>
  </si>
  <si>
    <t>winst</t>
  </si>
  <si>
    <t>verlies</t>
  </si>
  <si>
    <t>TF</t>
  </si>
  <si>
    <t xml:space="preserve"> </t>
  </si>
  <si>
    <t>WANNEER LANDEN BEKEND ZIJN DEZE OP ALFABETISCHE VOLGORDE SORTEREN</t>
  </si>
  <si>
    <t>BLAD</t>
  </si>
  <si>
    <t xml:space="preserve">ALLES VOORSPELD </t>
  </si>
  <si>
    <t>De Deelnamecode</t>
  </si>
  <si>
    <t>Controle Onderdelen</t>
  </si>
  <si>
    <t>NAAMCODE</t>
  </si>
  <si>
    <t>naamcode :</t>
  </si>
  <si>
    <t>veldcontrole :</t>
  </si>
  <si>
    <t>De naamcode is zonder foutmeldingen gegenereerd.</t>
  </si>
  <si>
    <t>naamlengte :</t>
  </si>
  <si>
    <t>lengtecontrole :</t>
  </si>
  <si>
    <t>uitslag controle :</t>
  </si>
  <si>
    <t>Het genereren van de deelnamecode voor de groepswedstrijden is niet mogelijk in verband met het ontbreken</t>
  </si>
  <si>
    <t>GROEPSCODE</t>
  </si>
  <si>
    <t>Bij het genereren van de deelnamecode voor de groepswedstrijden is er een fout geconstateerd. Controleer uw</t>
  </si>
  <si>
    <t>groepscode :</t>
  </si>
  <si>
    <t>Bij het genereren van de deelnamecode voor de groepswedstrijden zijn er fouten geconstateerd. Controleer uw</t>
  </si>
  <si>
    <t>aantal leeg :</t>
  </si>
  <si>
    <t>De deelnamecode voor de groepswedstrijden is zonder foutmeldingen gegenereerd.</t>
  </si>
  <si>
    <t>aantal hoog :</t>
  </si>
  <si>
    <t>aantal ongeldig :</t>
  </si>
  <si>
    <t>aantal goed :</t>
  </si>
  <si>
    <t>POULECODE</t>
  </si>
  <si>
    <t>poulecode :</t>
  </si>
  <si>
    <t>aantal dubbel :</t>
  </si>
  <si>
    <t>Het genereren van de deelnamecode voor de finalewedstrijden is niet mogelijk in verband met het ontbreken</t>
  </si>
  <si>
    <t>Bij het genereren van de deelnamecode voor de finalewedstrijden is er een fout geconstateerd. Controleer uw</t>
  </si>
  <si>
    <t>FINALECODE</t>
  </si>
  <si>
    <t>Bij het genereren van de deelnamecode voor de finalewedstrijden zijn er fouten geconstateerd. Controleer uw</t>
  </si>
  <si>
    <t>finalecode :</t>
  </si>
  <si>
    <t>De deelnamecode voor de finalewedstrijden is zonder foutmeldingen gegenereerd.</t>
  </si>
  <si>
    <t>WINNAARCODE</t>
  </si>
  <si>
    <t>winnaarcode :</t>
  </si>
  <si>
    <t>Het genereren van de deelnamecode voor de bonusvragen is niet mogelijk in verband met het ontbreken</t>
  </si>
  <si>
    <t>3 = goed / 4 = leeg</t>
  </si>
  <si>
    <t>Bij het genereren van de deelnamecode voor de bonusvragen is er een fout geconstateerd. Controleer uw</t>
  </si>
  <si>
    <t>Bij het genereren van de deelnamecode voor de bonusvragen zijn er fouten geconstateerd. Controleer uw</t>
  </si>
  <si>
    <t>vragencode :</t>
  </si>
  <si>
    <t>De deelnamecode voor de bonusvragen is zonder foutmeldingen gegenereerd.</t>
  </si>
  <si>
    <t>lengte 1:</t>
  </si>
  <si>
    <t>lengte 2:</t>
  </si>
  <si>
    <t>LEGE REGEL</t>
  </si>
  <si>
    <t>Onderdeel</t>
  </si>
  <si>
    <t>AANTAL</t>
  </si>
  <si>
    <t>LEEG</t>
  </si>
  <si>
    <t>GOED</t>
  </si>
  <si>
    <t>FOUT</t>
  </si>
  <si>
    <t>1 = ALLES GOED</t>
  </si>
  <si>
    <t>2 = LEEG (1 of meer)</t>
  </si>
  <si>
    <t>3 = FOUT (1 of meer)</t>
  </si>
  <si>
    <t>TOTAAL UITSLAG</t>
  </si>
  <si>
    <t>4 = LEEG &amp; FOUT (2 of meer)</t>
  </si>
  <si>
    <t>TEKST BIJ FOUT OF LEEG</t>
  </si>
  <si>
    <t>.</t>
  </si>
  <si>
    <t>Bron Bonusvragen</t>
  </si>
  <si>
    <t>Alle wedstrijden gespeeld in de groep</t>
  </si>
  <si>
    <t>Reglement aanwezig?</t>
  </si>
  <si>
    <t>#d, #e, #h en i#</t>
  </si>
  <si>
    <t>→</t>
  </si>
  <si>
    <t>Eindstand juist</t>
  </si>
  <si>
    <t>punten Eindstand bij Finalewedstrijden</t>
  </si>
  <si>
    <t>SORTEREN OP LAND</t>
  </si>
  <si>
    <t>SORTEREN OP AFKORTING</t>
  </si>
  <si>
    <t>Prijzengeld</t>
  </si>
  <si>
    <t>(alles / benodigd / deelnemer)</t>
  </si>
  <si>
    <t>alles</t>
  </si>
  <si>
    <t>Win.</t>
  </si>
  <si>
    <t>3e</t>
  </si>
  <si>
    <t>Het genereren van de deelnamecode voor de eindstand in de groep is niet mogelijk in verband met het</t>
  </si>
  <si>
    <t>Bij het genereren van de deelnamecode voor de eindstand in de groep is er een fout geconstateerd.</t>
  </si>
  <si>
    <t>Bij het genereren van de deelnamecode voor de eindstand in de groep zijn er fouten geconstateerd.</t>
  </si>
  <si>
    <t>De deelnamecode voor de eindstand in de groep is zonder foutmeldingen gegenereerd.</t>
  </si>
  <si>
    <t>Inleg via bankoverschrijving</t>
  </si>
  <si>
    <t>rekeningnummer</t>
  </si>
  <si>
    <t>ter name van</t>
  </si>
  <si>
    <t>onder vermelding van</t>
  </si>
  <si>
    <t>goede doel</t>
  </si>
  <si>
    <t>Troostprijzen</t>
  </si>
  <si>
    <t>(A = contant, B = bank, C = beide)</t>
  </si>
  <si>
    <t>(bank rekening nummer)</t>
  </si>
  <si>
    <t>(ter name van)</t>
  </si>
  <si>
    <t>(onder vermelding van)</t>
  </si>
  <si>
    <t>(1 = wel inleg, ""=geen inleg)</t>
  </si>
  <si>
    <t>(1=wel prijs, ""=geen prijs)</t>
  </si>
  <si>
    <t>(troostprijzen)</t>
  </si>
  <si>
    <t>(poedelprijzen)</t>
  </si>
  <si>
    <t>(reglement aanwezig)</t>
  </si>
  <si>
    <t>Aftrek Verschil eindstand</t>
  </si>
  <si>
    <t>TOTO juist voor punten eindstand</t>
  </si>
  <si>
    <t>deel van de punten indien het land niet op de juiste plek staat.</t>
  </si>
  <si>
    <t>SORTEREN OP CODE</t>
  </si>
  <si>
    <t>Duits</t>
  </si>
  <si>
    <t>Engels</t>
  </si>
  <si>
    <t>Zweeds</t>
  </si>
  <si>
    <t>2e open vraag</t>
  </si>
  <si>
    <t>Beoordeling benaderingsvragen</t>
  </si>
  <si>
    <t>Eerste stelling</t>
  </si>
  <si>
    <t>Tweede stelling</t>
  </si>
  <si>
    <t>Derde stelling</t>
  </si>
  <si>
    <t>Vierde stelling</t>
  </si>
  <si>
    <t>Vijfde stelling</t>
  </si>
  <si>
    <t>/</t>
  </si>
  <si>
    <t>TOTO Groepswedstrijden</t>
  </si>
  <si>
    <t>0. punten in groep</t>
  </si>
  <si>
    <t>1. punten onderling</t>
  </si>
  <si>
    <t>2. doelsaldo onderling</t>
  </si>
  <si>
    <t>3. doelpunten voor onderling</t>
  </si>
  <si>
    <t>5. doelsaldo groep</t>
  </si>
  <si>
    <t>6. doelpunten voor groep</t>
  </si>
  <si>
    <t>www.excel-pool.nl/4beste3</t>
  </si>
  <si>
    <t>¹:</t>
  </si>
  <si>
    <t>Tevens vind u hier ook de verdeelsleutel voor het bepalen welk team in welke achtste finale speelt.</t>
  </si>
  <si>
    <t>STELLINGEN CONTROLEREN OP UITKOMST OP BASIS VAN VOORSPELLING</t>
  </si>
  <si>
    <t>Brongegegevens</t>
  </si>
  <si>
    <t>finale</t>
  </si>
  <si>
    <t>aantal wedstrijden winst/verlies</t>
  </si>
  <si>
    <t>aantal wedstrijden gelijkspel</t>
  </si>
  <si>
    <t>Voetregel:</t>
  </si>
  <si>
    <t>nvt</t>
  </si>
  <si>
    <t>Eerste rij:</t>
  </si>
  <si>
    <t>Aantal tussenrijen:</t>
  </si>
  <si>
    <t>Laatste rij:</t>
  </si>
  <si>
    <t>Beide landen juist bij finalewedstrijden</t>
  </si>
  <si>
    <t>Beide landen en de toto juist bij de finalewedstrijden</t>
  </si>
  <si>
    <t>TOTO en eindstand juist bij groeps- en finalewedstrijden</t>
  </si>
  <si>
    <t>TOTO en eindstand juist bij goepswedstrijden</t>
  </si>
  <si>
    <t>TOTO en eindstand juist bij groeps- en finalewedstrijden (+ landen bij finales)</t>
  </si>
  <si>
    <t>Eindstand finalewedstrijden na 90min. of verlenging</t>
  </si>
  <si>
    <t>90min. Of verlenging</t>
  </si>
  <si>
    <t>x</t>
  </si>
  <si>
    <t>y</t>
  </si>
  <si>
    <t>z</t>
  </si>
  <si>
    <t>E-mail adres verplicht</t>
  </si>
  <si>
    <t>gelijkspel</t>
  </si>
  <si>
    <t>winst/verlies</t>
  </si>
  <si>
    <t>tip: het programma van het vorige EK / WK (4 jaar geleden) is praktisch identiek</t>
  </si>
  <si>
    <t>AB</t>
  </si>
  <si>
    <t>aantal onvoldoende gegevens :</t>
  </si>
  <si>
    <t>aantal JA :</t>
  </si>
  <si>
    <t>aantal NEE :</t>
  </si>
  <si>
    <t>België</t>
  </si>
  <si>
    <t>BE</t>
  </si>
  <si>
    <t>Frankrijk</t>
  </si>
  <si>
    <t>Portugal</t>
  </si>
  <si>
    <t>FR</t>
  </si>
  <si>
    <t>PT</t>
  </si>
  <si>
    <t>DK</t>
  </si>
  <si>
    <t>HR</t>
  </si>
  <si>
    <t>ES</t>
  </si>
  <si>
    <t>GB</t>
  </si>
  <si>
    <t>CH</t>
  </si>
  <si>
    <t>corrigeer bij switch EK-WK</t>
  </si>
  <si>
    <t>E-mailcode</t>
  </si>
  <si>
    <t>SPATIES</t>
  </si>
  <si>
    <t>BEVAT @</t>
  </si>
  <si>
    <t>BEVAT PUNT</t>
  </si>
  <si>
    <t>E-mail Lengte :</t>
  </si>
  <si>
    <t>E-mail Code :</t>
  </si>
  <si>
    <t>E-mail Controle :</t>
  </si>
  <si>
    <t>e-mail ingevuld :</t>
  </si>
  <si>
    <t>e-mail verplicht :</t>
  </si>
  <si>
    <t>Controle e-mail op :</t>
  </si>
  <si>
    <t>Resultaat controle :</t>
  </si>
  <si>
    <t>E-MAILCODE</t>
  </si>
  <si>
    <t>e-mailcode :</t>
  </si>
  <si>
    <t>e-maillengte :</t>
  </si>
  <si>
    <t>naam verplicht :</t>
  </si>
  <si>
    <t>De naamcode inclusief e-mailadres is zonder foutmeldingen gegenereerd.</t>
  </si>
  <si>
    <t>van gegevens. Controleer of alle velden zijn ingevuld op het werkblad "Groepswedstrijden".</t>
  </si>
  <si>
    <t>invoer op het werkblad "Groepswedstrijden".</t>
  </si>
  <si>
    <t>ontbreken van gegevens. Controleer of alle velden zijn ingevuld op het werkblad "Eindstand Groep".</t>
  </si>
  <si>
    <t>Controleer uw invoer op het werkblad "Eindstand Groep".</t>
  </si>
  <si>
    <t>van gegevens. Controleer of alle velden zijn ingevuld op het werkblad "Finalewedstrijden".</t>
  </si>
  <si>
    <t>invoer op het werkblad "Finalewedstrijden".</t>
  </si>
  <si>
    <t>uw invoer  op het werkblad "Finalewedstrijden".</t>
  </si>
  <si>
    <t>van gegevens. Controleer of alle velden zijn ingevuld op het werkblad "Bonusvragen".</t>
  </si>
  <si>
    <t>invoer op het werkblad "Bonusvragen".</t>
  </si>
  <si>
    <t>bovenaan het werkblad "Groepswedstrijden".</t>
  </si>
  <si>
    <t>Het generen van de naamcode is niet mogelijk in verband met het ontbreken van uw naam. Voer uw naam in</t>
  </si>
  <si>
    <t>e-mailadres in bovenaan het werkblad "Groepswedstrijden".</t>
  </si>
  <si>
    <t>Het generen van de naamcode is niet mogelijk in verband met het ontbreken van uw e-mailadres. Voer uw</t>
  </si>
  <si>
    <t>werkblad "Groepswedstrijden".</t>
  </si>
  <si>
    <t>Bij het genereren van de naamcode is er een fout geconstateerd. Controleer uw e-mailadres bovenaan het</t>
  </si>
  <si>
    <t>Bij het genereren van de naamcode is er een fout geconstateerd. Controleer uw naam bovenaan het</t>
  </si>
  <si>
    <t>e-mailadres bovenaan het werkblad "Groepswedstrijden".</t>
  </si>
  <si>
    <t>Bij het genereren van de naamcode met e-mailadres is er een fout geconstateerd. Controleer uw naam en</t>
  </si>
  <si>
    <t>gegevens. Voer uw naam en e-mailadres in bovenaan het werkblad "Groepswedstrijden".</t>
  </si>
  <si>
    <t>Het generen van de naamcode incluslief e-mailadres is niet mogelijk in verband met het ontbreken van</t>
  </si>
  <si>
    <t>Opmerkingen indien één van de velden leeg is bij de NAAMCODE</t>
  </si>
  <si>
    <t>Opmerkingen indien één van de velden fout is bij de NAAMCODE</t>
  </si>
  <si>
    <t>Opmerkingen wanneer alles goed is.</t>
  </si>
  <si>
    <t>rekening nummer</t>
  </si>
  <si>
    <t>lege regel</t>
  </si>
  <si>
    <t>nr. 1</t>
  </si>
  <si>
    <t>nr. 2</t>
  </si>
  <si>
    <t>nr. 3</t>
  </si>
  <si>
    <t>nr. 4</t>
  </si>
  <si>
    <t>nr. 5</t>
  </si>
  <si>
    <t>nr. 6</t>
  </si>
  <si>
    <t>nr. 7</t>
  </si>
  <si>
    <t>nr. 8</t>
  </si>
  <si>
    <t>nr. 9</t>
  </si>
  <si>
    <t>nr. 10</t>
  </si>
  <si>
    <t>troostprijzen</t>
  </si>
  <si>
    <t>poedelprijzen</t>
  </si>
  <si>
    <t>Tekst bij DEMO/BETA-versie</t>
  </si>
  <si>
    <t>Versie van de pool</t>
  </si>
  <si>
    <t>Kenmerk</t>
  </si>
  <si>
    <t>Nederlands</t>
  </si>
  <si>
    <t>Het Beheerders Bestand</t>
  </si>
  <si>
    <t>The Manager File</t>
  </si>
  <si>
    <t>Het Excel Deelname Formulier</t>
  </si>
  <si>
    <t>The Excel Participation Form</t>
  </si>
  <si>
    <t>Externe Ranglijst</t>
  </si>
  <si>
    <t>External Ranking</t>
  </si>
  <si>
    <t>Extra Beheerdersmodule voor de Organisatoren</t>
  </si>
  <si>
    <t>Uitbreidingsmodule voor het Beheerders Bestand</t>
  </si>
  <si>
    <t>Update voor de Excel EK-Pool naar versie</t>
  </si>
  <si>
    <t>Additional Administrator Module for the Organizers</t>
  </si>
  <si>
    <t>The Participation Form</t>
  </si>
  <si>
    <t>Extension Module for the Manager's File</t>
  </si>
  <si>
    <t>Update for the Excel EC Pool to version</t>
  </si>
  <si>
    <t>LET OP: Deze module maakt gebruik van macro's. Het word geadviseerd om deze in te schakelen.</t>
  </si>
  <si>
    <t>LET OP: Dit formulier bevat geen reglement. Vraag uw organisator om het reglement toe te voegen.</t>
  </si>
  <si>
    <t>LET OP: Deze module maakt gebruikt van macro's en is geschikt voor maximaal ### deelnemers.</t>
  </si>
  <si>
    <t>LET OP: Deze ranglijst maakt gebruikt van macro's en is geschikt voor maximaal ### deelnemers.</t>
  </si>
  <si>
    <t>LET OP: Deze update maakt gebruik van macro's. Geadviseerd wordt om deze in te schakelen.</t>
  </si>
  <si>
    <t>PLEASE NOTE: This module uses macros and is suitable for maximum ### participants.</t>
  </si>
  <si>
    <t>PLEASE NOTE: This external ranking uses macros and is suitable for maximum ### participants.</t>
  </si>
  <si>
    <t>PLEASE NOTE: For optional use of the manager's file, it is recommended to enable the macros.</t>
  </si>
  <si>
    <t>PLEASE NOTE: This module makes use of macros. It's recommended to enable the macros.</t>
  </si>
  <si>
    <t>PLEASE NOTE: This update makes use of macros. It's recommended to enable the macros.</t>
  </si>
  <si>
    <t>Helpbestand voor Excel-pool.nl</t>
  </si>
  <si>
    <t>Help File fot Excel-pool.nl</t>
  </si>
  <si>
    <t>Voorblad</t>
  </si>
  <si>
    <t>Choose your language</t>
  </si>
  <si>
    <t>Dutch</t>
  </si>
  <si>
    <t>English</t>
  </si>
  <si>
    <t>Group A</t>
  </si>
  <si>
    <t>Group B</t>
  </si>
  <si>
    <t>Spain</t>
  </si>
  <si>
    <t>Group C</t>
  </si>
  <si>
    <t>France</t>
  </si>
  <si>
    <t>Denmark</t>
  </si>
  <si>
    <t>Group D</t>
  </si>
  <si>
    <t>Croatia</t>
  </si>
  <si>
    <t>Group E</t>
  </si>
  <si>
    <t>Switzerland</t>
  </si>
  <si>
    <t>Group F</t>
  </si>
  <si>
    <t>Germany</t>
  </si>
  <si>
    <t>Group G</t>
  </si>
  <si>
    <t>Belgium</t>
  </si>
  <si>
    <t>England</t>
  </si>
  <si>
    <t>Group H</t>
  </si>
  <si>
    <t>Keuze</t>
  </si>
  <si>
    <t>Demo</t>
  </si>
  <si>
    <t>Demo Versie</t>
  </si>
  <si>
    <t>Demo Version</t>
  </si>
  <si>
    <t>Deelnemers</t>
  </si>
  <si>
    <t>Participants</t>
  </si>
  <si>
    <t>Uitkomst Keuzelijst</t>
  </si>
  <si>
    <t>Gekozen taal (rij)</t>
  </si>
  <si>
    <t>Voorblad / Algemeen</t>
  </si>
  <si>
    <t>Reglement</t>
  </si>
  <si>
    <t>Prijzenpot</t>
  </si>
  <si>
    <t>Groepswedstrijden</t>
  </si>
  <si>
    <t>Finalewedstrijden</t>
  </si>
  <si>
    <t>Deelnamecode</t>
  </si>
  <si>
    <t>Reglement Display</t>
  </si>
  <si>
    <t>Beheerders Display</t>
  </si>
  <si>
    <t>Uitslagen</t>
  </si>
  <si>
    <t>Openvragen</t>
  </si>
  <si>
    <t>Punten Groepswedstrijden</t>
  </si>
  <si>
    <t>Punten Eindstand Groepsdase</t>
  </si>
  <si>
    <t>Punten Finalewedstrijden</t>
  </si>
  <si>
    <t>Punten Bonusvragen</t>
  </si>
  <si>
    <t>Ranglijst</t>
  </si>
  <si>
    <t>Voorspellingen</t>
  </si>
  <si>
    <t>Kladblok</t>
  </si>
  <si>
    <t>Cover</t>
  </si>
  <si>
    <t>Rules</t>
  </si>
  <si>
    <t>PLEASE NOTE: This form does not contain any rules. Ask your organizer to add these.</t>
  </si>
  <si>
    <t>Prize pool</t>
  </si>
  <si>
    <t>Group Matches</t>
  </si>
  <si>
    <t>Final Matches</t>
  </si>
  <si>
    <t>Bonus Questions</t>
  </si>
  <si>
    <t>Participation Code</t>
  </si>
  <si>
    <t>Rules Display</t>
  </si>
  <si>
    <t>Managers Display</t>
  </si>
  <si>
    <t>Results</t>
  </si>
  <si>
    <t>Open Questions</t>
  </si>
  <si>
    <t>Points Group Matches</t>
  </si>
  <si>
    <t>Points Final Matches</t>
  </si>
  <si>
    <t>Points Bonus Questions</t>
  </si>
  <si>
    <t>Ranking</t>
  </si>
  <si>
    <t>Notepad</t>
  </si>
  <si>
    <t>Predictions</t>
  </si>
  <si>
    <t>The Rules</t>
  </si>
  <si>
    <t>The Participation Rules</t>
  </si>
  <si>
    <t>Ook de inleg dient voor de sluitingsdatum betaald te worden.</t>
  </si>
  <si>
    <t>Wanneer dit niet tijdig is gebeurd wordt de deelname ongeldig verklaard.</t>
  </si>
  <si>
    <t>The Participation Code and / or the Participation Form must be submitted to $$$ (&amp;&amp;&amp;) before ###.</t>
  </si>
  <si>
    <t>The buy-in must also be paid before the closing date.</t>
  </si>
  <si>
    <t>If this is not done on time, the participation will be declared invalid.</t>
  </si>
  <si>
    <t>At this pool, participation is free and therefore no buy-in is required to participate.</t>
  </si>
  <si>
    <t>Bij deze pool is deelname gratis en is er dus geen inleg verplicht om mee te spelen.</t>
  </si>
  <si>
    <t>(zie werkblad 'Prijzenpot' voor meer info).</t>
  </si>
  <si>
    <t>(zie de volgende pagina voor meer info).</t>
  </si>
  <si>
    <t>(see the next page for more info).</t>
  </si>
  <si>
    <t>As a participant, it is permitted to submit multiple participation forms.</t>
  </si>
  <si>
    <t>As a participant, it is not permitted to submit multiple participation forms.</t>
  </si>
  <si>
    <t>Het is wel toegestaan om als deelnemer meerdere deelname formulieren in te leveren.</t>
  </si>
  <si>
    <t>Het is niet toegestaan om als deelnemer meerdere deelname formulieren in te leveren.</t>
  </si>
  <si>
    <t>Het is niet mogelijk om uitslagen te voorspellen waarin één land meer dan 9 doelpunten maakt. Wanneer een land toch meer dan 9 doelpunten maakt tijdens één wedstrijd zal bij de uitslag 9 doelpunten genoteerd worden.</t>
  </si>
  <si>
    <t>It is not possible to predict results in which one team will score more than 9 goals. If a team scores more than 9 goals during one match, 9 goals will be noted for the result.</t>
  </si>
  <si>
    <t>For predicting the TOTO, enter a 1 when you think the home team will win, a 2 if you think the away team will win and when you expect a draw, you enter a 3.</t>
  </si>
  <si>
    <t>In de finalewedstrijden wordt de uitslag aangehouden die bereikt is na het verstrijken van de reguliere speeltijd inclusief de blessuretijd.</t>
  </si>
  <si>
    <t>In de finalewedstrijden wordt de uitslag aangehouden die bereikt is na het verstrijken van de eventuele verlenging inclusief de blessuretijd.</t>
  </si>
  <si>
    <t>Een gelijkspel in de finalewedstrijden is dus ook mogelijk.</t>
  </si>
  <si>
    <t>In all cases for which these regulations do not provide the organiser will make the final decision.</t>
  </si>
  <si>
    <t>By submitting the participation form you agree to these competition rules.</t>
  </si>
  <si>
    <t>Door het inleveren van het deelname formulier gaat u akkoord met dit wedstrijdreglement.</t>
  </si>
  <si>
    <t>January</t>
  </si>
  <si>
    <t>February</t>
  </si>
  <si>
    <t>March</t>
  </si>
  <si>
    <t>April</t>
  </si>
  <si>
    <t>May</t>
  </si>
  <si>
    <t>June</t>
  </si>
  <si>
    <t>July</t>
  </si>
  <si>
    <t>August</t>
  </si>
  <si>
    <t>September</t>
  </si>
  <si>
    <t>October</t>
  </si>
  <si>
    <t>November</t>
  </si>
  <si>
    <t>December</t>
  </si>
  <si>
    <t>The Score</t>
  </si>
  <si>
    <t>The Participation Code and / or the Participation Form must be emailed to "&amp;&amp;&amp;" before ###.</t>
  </si>
  <si>
    <t>This pool has a mandatory buy-in of €### for participation</t>
  </si>
  <si>
    <t>Deze pool heeft voor deelname een verplichte inleg van €###</t>
  </si>
  <si>
    <t>(pagina #)</t>
  </si>
  <si>
    <t>(page #)</t>
  </si>
  <si>
    <t>Punt</t>
  </si>
  <si>
    <t>Point</t>
  </si>
  <si>
    <t>Points</t>
  </si>
  <si>
    <t>Het voorspellen van de landen in de finalewedstrijden</t>
  </si>
  <si>
    <t>the country must be in the right position</t>
  </si>
  <si>
    <t>the country does not have to be in the right position</t>
  </si>
  <si>
    <t>het land hoeft niet op de juiste positie te staan</t>
  </si>
  <si>
    <t>het land dient op de juiste positie te staan</t>
  </si>
  <si>
    <t>voor elk goed voorspelde land in de finale</t>
  </si>
  <si>
    <t>voor elk goed voorspelde land in de troostfinale</t>
  </si>
  <si>
    <t>voor elk goed voorspelde land in de halve finales</t>
  </si>
  <si>
    <t>voor elk goed voorspelde land in de kwartfinales</t>
  </si>
  <si>
    <t>voor elk goed voorspelde land in de achtste finales</t>
  </si>
  <si>
    <t>behaald dan ontvangt men alsnog de helft van het aantal punten voor het juist voorspellen van het land.</t>
  </si>
  <si>
    <t>behaald dan ontvangt men alsnog het volledig aantal punten voor het juist voorspellen van het land.</t>
  </si>
  <si>
    <t>Heeft men het land niet op de juiste positie voorspeld maar het heeft wel de betreffende finaleronde</t>
  </si>
  <si>
    <t>Het is toegestaan om een land meerdere keren te voorspellen in één finaleronde.</t>
  </si>
  <si>
    <t>Het is niet toegestaan om een land meerdere keren te voorspellen in één finaleronde.</t>
  </si>
  <si>
    <t>de uitslag van de betreffende wedstrijd bekend is.</t>
  </si>
  <si>
    <t>de uitslag van de betreffende wedstrijd bekend is of als het voorspelde land zijn wedstrijd heeft gespeeld.</t>
  </si>
  <si>
    <t>Punten voor het goed voorspellen van een land in de finaleronden worden pas meegeteld op het moment dat</t>
  </si>
  <si>
    <t>is known or when the predicted country has played its match.</t>
  </si>
  <si>
    <t>Het voorspellen van de eindstand in de groep</t>
  </si>
  <si>
    <t>voor elk goed voorspelde land bij de eindstand in de groep.</t>
  </si>
  <si>
    <t>Elk land mag maar één keer ingevuld worden bij de voorspelling van de eindstand in de groep.</t>
  </si>
  <si>
    <t>Het voorspellen van de uitslag</t>
  </si>
  <si>
    <t>Het voorspellen van de TOTO</t>
  </si>
  <si>
    <t>voor het goed voorspellen van de TOTO (winst / verlies of gelijkspel).</t>
  </si>
  <si>
    <t>Predicting the TOTO</t>
  </si>
  <si>
    <t>for correctly predicting the TOTO (win / loss or draw).</t>
  </si>
  <si>
    <t>predicting the TOTO.</t>
  </si>
  <si>
    <t>Predicting the match result</t>
  </si>
  <si>
    <t>voor het goed voorspellen van het aantal gescoorde doelpunten per spelend team.</t>
  </si>
  <si>
    <t>for correctly predicting the number of goals scored per team.</t>
  </si>
  <si>
    <t>the TOTO.</t>
  </si>
  <si>
    <t>for correctly predicting the number of goals scored per team, provided that you have correctly predicted</t>
  </si>
  <si>
    <t>aftrek voor elk doelpunt dat de voorspelling afwijkt van de uitslag.</t>
  </si>
  <si>
    <t>deduction for each goal that the prediction deviates from the result.</t>
  </si>
  <si>
    <t>De aftrek van punten zal nooit hoger zijn dan de standaard verkregen punten.</t>
  </si>
  <si>
    <t>The deduction of points will never be more than the standard points obtained.</t>
  </si>
  <si>
    <t>De aftrek van punten zal per land nooit hoger zijn dan de standaard verkregen punten per land.</t>
  </si>
  <si>
    <t>The deduction of points per country will never be more than the standard points obtained per country.</t>
  </si>
  <si>
    <t>deduction for each goal that the prediction deviates from the result (from the correctly predicted country).</t>
  </si>
  <si>
    <t>aftrek voor elk doelpunt dat de voorspelling afwijkt van de uitslag (van het juist voorspelde land).</t>
  </si>
  <si>
    <t>Bonuspunten</t>
  </si>
  <si>
    <t>Bonus points</t>
  </si>
  <si>
    <t>Bonus$$$ voor iedere finalewedstrijd waarbij beide landen op de juiste positie zijn voorspeld.</t>
  </si>
  <si>
    <t>Bonus$$$ voor iedere finalewedstrijd waarbij zowel de TOTO als de beide landen juist zijn voorspeld.</t>
  </si>
  <si>
    <t>De bonusvragen</t>
  </si>
  <si>
    <t>The bonus questions</t>
  </si>
  <si>
    <t>The points for correctly answering the bonus questions are shown on the worksheet with the bonus questions.</t>
  </si>
  <si>
    <t>The points for correctly answering the bonus questions are shown on the page with the bonus questions.</t>
  </si>
  <si>
    <t>(see worksheet 'Prijzenpot' for more info).</t>
  </si>
  <si>
    <t>(bij de finalewedstrijden dienen ook de beide landen juist voorspeld te zijn).</t>
  </si>
  <si>
    <t>De Prijzenpot</t>
  </si>
  <si>
    <t>The Prize Pool</t>
  </si>
  <si>
    <t>Om deel te nemen aan deze pool bent u verplicht de vastgestelde inleg te betalen. De vastgestelde inleg</t>
  </si>
  <si>
    <t>noodzakelijk.</t>
  </si>
  <si>
    <t>Deelname aan deze pool is kosteloos. Om aanspraak te maken op de prijzenpot is dan ook geen inleg</t>
  </si>
  <si>
    <t>Indien meerdere spelers op dezelfde positie staan en recht hebben op prijzengeld zal de totale som</t>
  </si>
  <si>
    <t>van het prijzengeld voor de gedeelde plekken verdeeld worden onder de rechthebbenden.</t>
  </si>
  <si>
    <t>De verdeling van het prijzengeld gebeurt als volgt:</t>
  </si>
  <si>
    <t>Tevens zijn er diverse troostprijzen beschikbaar voor degene die net naast de prijzen grijpen.</t>
  </si>
  <si>
    <t>Tevens zijn er voor de nr. ### en $$$ troostprijzen beschikbaar voor degene die net naast de prijzen grijpen.</t>
  </si>
  <si>
    <t>Tevens zijn er voor de nr. ### t/m $$$ troostprijzen beschikbaar voor degene die net naast de prijzen grijpen.</t>
  </si>
  <si>
    <t>Tevens is er voor de nr. ### een troostprijs beschikbaar als troost voor het net naast de prijzen grijpen.</t>
  </si>
  <si>
    <t>Daarnaast zijn er diverse poedelprijzen beschikbaar voor degenen die onderaan eindigen.</t>
  </si>
  <si>
    <t>Daarnaast ontvangt de laagst genoteerde deelnemer na afloop een poedelprijs.</t>
  </si>
  <si>
    <t>Daarnaast ontvangen de ### laagst genoteerde deelnemers na afloop ieder een poedelprijs.</t>
  </si>
  <si>
    <t>Wanneer een niet betalende deelnemer in aanmerkingen komt voor de prijzenpot zal de prijs worden</t>
  </si>
  <si>
    <r>
      <t>aan deze pool. U kunt dan ook geen aanspraak maken op de prijzenpot aan het einde van het toernooi</t>
    </r>
    <r>
      <rPr>
        <sz val="11"/>
        <rFont val="Calibri"/>
        <family val="2"/>
      </rPr>
      <t>¹</t>
    </r>
    <r>
      <rPr>
        <sz val="11"/>
        <rFont val="Calibri"/>
        <family val="2"/>
        <scheme val="minor"/>
      </rPr>
      <t>.</t>
    </r>
  </si>
  <si>
    <t>doorgeschoven naar de eerst volgende betalende deelnemer op de ranglijst.</t>
  </si>
  <si>
    <t>To participate in this pool, you are obliged to pay the buy-in.</t>
  </si>
  <si>
    <t>However, you cannot claim any of the prizes at the end of the tournament¹.</t>
  </si>
  <si>
    <t>required to claim any of the prizes at the end of the tournament.</t>
  </si>
  <si>
    <t>Participation in this pool is free of charge. Therefore, no buy-in is</t>
  </si>
  <si>
    <t>bank account</t>
  </si>
  <si>
    <t>payment reference</t>
  </si>
  <si>
    <t>account name</t>
  </si>
  <si>
    <t>sum of the prize money for the shared places will be divided among the relevant players.</t>
  </si>
  <si>
    <t>If several players are in the same position and are entitled to one of the prizes. Then the total</t>
  </si>
  <si>
    <t>The distribution of the prize money is as follows:</t>
  </si>
  <si>
    <t>No.</t>
  </si>
  <si>
    <t>Also for the no. ### and $$$ consolation prizes are available for those who just grab next to the prizes.</t>
  </si>
  <si>
    <t>Also for the number ### there is a consolation prize available as consolation for grasping the prizes.</t>
  </si>
  <si>
    <t>Also there are consolation prizes available for no. ### to $$$ for those who grab just next to the prizes.</t>
  </si>
  <si>
    <t>Also there are various consolation prizes available for those who grab next to the prizes.</t>
  </si>
  <si>
    <t>In addition, there are various poodle prices available for those that end at the bottom.</t>
  </si>
  <si>
    <t>In addition, the lowest listed participant will receive a poodle prize afterwards.</t>
  </si>
  <si>
    <t>In addition, the ### lowest-rated participants will each receive a poodle prize afterwards.</t>
  </si>
  <si>
    <t>paying participant in the rankings.</t>
  </si>
  <si>
    <t>If a non-paying participant is eligible for one of the prizes, the prize will be passed on to the next</t>
  </si>
  <si>
    <t>Deelname zonder</t>
  </si>
  <si>
    <t>inleg toegestaan</t>
  </si>
  <si>
    <t>voor deze pool is ###.</t>
  </si>
  <si>
    <t>De inleg voor deelname aan deze pool is ###. U kunt er ook voor kiezen om zonder inleg deel te nemen</t>
  </si>
  <si>
    <t>The buy-in for this pool is ###.</t>
  </si>
  <si>
    <t>The buy-in for participation in this pool is ###. You can also choose to participate for free.</t>
  </si>
  <si>
    <t>Van de inleg komt ### ten goede aan het goede doel ($$$).</t>
  </si>
  <si>
    <t>### of the buy-in goes to charity ($$$).</t>
  </si>
  <si>
    <t>of the prize pool</t>
  </si>
  <si>
    <t>van de prijzenpot</t>
  </si>
  <si>
    <t>Tussentijds updaten</t>
  </si>
  <si>
    <t>toegestaan</t>
  </si>
  <si>
    <t>deelnamecode is</t>
  </si>
  <si>
    <t>points for correctly predicting the position of the countries in each group after the group stage.</t>
  </si>
  <si>
    <t>The points for each correct prediction are only added when the last match of the group has been played.</t>
  </si>
  <si>
    <t>De punten voor elke juiste voorspelling worden pas opgeteld als de laatste wedstrijd van de groep is gespeeld.</t>
  </si>
  <si>
    <t>Zie het werkblad met de bonusvragen voor de puntentelling bij het juist beantwoorden van de bonusvragen.</t>
  </si>
  <si>
    <t>Zie de pagina met de bonusvragen voor de puntentelling bij het juist beantwoorden van de bonusvragen.</t>
  </si>
  <si>
    <t>Troostfinale aanwezig</t>
  </si>
  <si>
    <t>De eventuele inleg dient voor aanvang van het toernooi betaald te worden aan de organisator.</t>
  </si>
  <si>
    <t>De inleg dient contant betaald te worden of via een betaalverzoek welke de organisator u zal toesturen.</t>
  </si>
  <si>
    <t>De inleg dient voor aanvang van het toernooi betaald te worden aan de organisator.</t>
  </si>
  <si>
    <t>De inleg dient betaald te worden via een betaalverzoek welke de organisator u zal toesturen.</t>
  </si>
  <si>
    <t>De inleg dient door middel van een bankoverschrijving overgemaakt worden.</t>
  </si>
  <si>
    <t>De inleg dient contant betaald te worden of door middel van een bankoverschrijving overgemaakt te worden.</t>
  </si>
  <si>
    <t>De inleg dient met door middel van een contante betaling te voldoen.</t>
  </si>
  <si>
    <t>The buy-in must be paid in cash or transferred by bank transfer.</t>
  </si>
  <si>
    <t>The buy-in must be paid via a payment request that the organizer will send you.</t>
  </si>
  <si>
    <t>The buy-in must be paid in cash or through a payment request that the organizer will send you.</t>
  </si>
  <si>
    <t>The buy-in must be paid in cash.</t>
  </si>
  <si>
    <t>The buy-in must be paid by bank transfer.</t>
  </si>
  <si>
    <t>Is dit niet op tijd gedaan dan zal uw deelname ongeldig worden verklaard.</t>
  </si>
  <si>
    <t>If this is not done on time, your participation will be declared invalid.</t>
  </si>
  <si>
    <t xml:space="preserve">The buy-in must be paid to the organizer before the start of the tournament.
</t>
  </si>
  <si>
    <t>Is dit niet op tijd gedaan dan zal u ook niet deelnemen in de prijzenpot.</t>
  </si>
  <si>
    <t>If this is not done on time, you will not participate in the prize pool either.</t>
  </si>
  <si>
    <t xml:space="preserve">The optional buy-in must be paid to the organizer before the start of the tournament.
</t>
  </si>
  <si>
    <t>Wijze van betaling inleg.</t>
  </si>
  <si>
    <t>(deelname zonder inleg is toegestaan)</t>
  </si>
  <si>
    <t>deelname zonder inleg</t>
  </si>
  <si>
    <t>(deelname zonder inleg)</t>
  </si>
  <si>
    <t>betaling inleg</t>
  </si>
  <si>
    <t>betaling voor start toernooi</t>
  </si>
  <si>
    <t>Regel 57 t/m 83 t.b.v. lege regels (59 regels zichtbaar)</t>
  </si>
  <si>
    <t>Indien gewenst kunnen regels 10 t/m 39 en 57 t/m 83 verborgen  d.m.v. macro. Criteria hiervoor is of de betreffende regel in kolom A de waarde "H" bevat.</t>
  </si>
  <si>
    <t>Deze pool heeft voor deelname een optionele inleg van €###</t>
  </si>
  <si>
    <t>This pool has an optional buy-in of €### for participation</t>
  </si>
  <si>
    <t>Ondanks de prijzenpot is deelname aan deze pool gratis</t>
  </si>
  <si>
    <t>Despite the prize pool, participation in this pool is free</t>
  </si>
  <si>
    <t>Na de start van de openingsceremonie is het niet meer mogelijk om uw voorspellingen aan te passen.</t>
  </si>
  <si>
    <t>After the start of the opening ceremony it is no longer possible to adjust your predictions.</t>
  </si>
  <si>
    <t>Voor aanvang van de eerste 1/8 finale is het eenmalige mogelijk om uw voorspellingen voor de finalewedstrijden aan te passen.</t>
  </si>
  <si>
    <t>Excel Deelname Formulier</t>
  </si>
  <si>
    <t>Deelname Formulier</t>
  </si>
  <si>
    <t>Participation Form</t>
  </si>
  <si>
    <t>Excel Participation Form</t>
  </si>
  <si>
    <t>Group Stage</t>
  </si>
  <si>
    <t>Naam</t>
  </si>
  <si>
    <t>E-mail</t>
  </si>
  <si>
    <t>(maximaal ## tekens)</t>
  </si>
  <si>
    <t>Name</t>
  </si>
  <si>
    <t>(max. ## characters)</t>
  </si>
  <si>
    <t>Notes on completing the Form</t>
  </si>
  <si>
    <t>De achtergrondkleur van de in te vullen velden geeft de status van het veld aan. Deze status correspondeert met de tabel hier rechts.</t>
  </si>
  <si>
    <t>The background color of the fields to be filled in indicates the status of the field. This status corresponds to the table on the right.</t>
  </si>
  <si>
    <t>Entered correctly</t>
  </si>
  <si>
    <t>No value entered</t>
  </si>
  <si>
    <t>Incorrectly entered</t>
  </si>
  <si>
    <t>Voorspel welk team de wedstrijd wint of een gelijkspel en vul dit in op dit blad.</t>
  </si>
  <si>
    <t>Date</t>
  </si>
  <si>
    <t>Time</t>
  </si>
  <si>
    <t>Match</t>
  </si>
  <si>
    <t>Score</t>
  </si>
  <si>
    <t>All times are Central European Time (UCT + 1)</t>
  </si>
  <si>
    <t>Group</t>
  </si>
  <si>
    <t>Final</t>
  </si>
  <si>
    <t>Round of 16</t>
  </si>
  <si>
    <t>Quarter-finals</t>
  </si>
  <si>
    <t>Semi-finals</t>
  </si>
  <si>
    <t>Consolation Final</t>
  </si>
  <si>
    <t>Achtste Finale</t>
  </si>
  <si>
    <t>Kwartfinale</t>
  </si>
  <si>
    <t>Halve finale</t>
  </si>
  <si>
    <t>1 win for the home team, 2 win for the away team, 3 draw</t>
  </si>
  <si>
    <t>Predict which team will win the match or a draw and fill this in on this sheet.</t>
  </si>
  <si>
    <t>Voorspel de eindstand van de verschillende groepen en vul deze in op dit blad.</t>
  </si>
  <si>
    <t>Predict the results of the group matches and fill this in on this sheet.</t>
  </si>
  <si>
    <t>Voorspel de uitslag van de groepswedstrijden en vul deze in op dit blad.</t>
  </si>
  <si>
    <t>Each country may only be entered once when predicting the results of the groups.</t>
  </si>
  <si>
    <t>Indeling van de groepen</t>
  </si>
  <si>
    <t>To help you on your way, you can be given a suggestion based on previous predictions, provided that they have been fully completed. You are not required to follow this suggestion.</t>
  </si>
  <si>
    <t>suggesties niet weergeven</t>
  </si>
  <si>
    <t>hide suggestions after completion</t>
  </si>
  <si>
    <t>▼</t>
  </si>
  <si>
    <t>åß©þæ¥çµ®×ñø</t>
  </si>
  <si>
    <t>Netherlands</t>
  </si>
  <si>
    <t>Zwitserland</t>
  </si>
  <si>
    <t>Denemarken</t>
  </si>
  <si>
    <t>Nederland</t>
  </si>
  <si>
    <t>Engeland</t>
  </si>
  <si>
    <t>Kroatië</t>
  </si>
  <si>
    <t>Spanje</t>
  </si>
  <si>
    <t>NL</t>
  </si>
  <si>
    <t>Eindstand in de groep op basis van eerdere voorspellingen</t>
  </si>
  <si>
    <t>Goals for</t>
  </si>
  <si>
    <t>Goals against</t>
  </si>
  <si>
    <t>LET OP: niet alle wedstrijden in groep # zijn ingevuld.</t>
  </si>
  <si>
    <t>NOTE: not all matches in group # contain a prediction.</t>
  </si>
  <si>
    <t>Reglement + Prijzenpot</t>
  </si>
  <si>
    <t>Deelname Formlieren</t>
  </si>
  <si>
    <t>Landen</t>
  </si>
  <si>
    <t>Alfabetische volgorde van de landen</t>
  </si>
  <si>
    <t>Preview Versie</t>
  </si>
  <si>
    <t>Preview Version</t>
  </si>
  <si>
    <t>Beta Versie</t>
  </si>
  <si>
    <t>Beta Version</t>
  </si>
  <si>
    <t>Type document:</t>
  </si>
  <si>
    <t>(0 = BETA, 1 = DEMO, 2 = RELEASE, 3 = PREVIEW)</t>
  </si>
  <si>
    <t>Alfabetisch</t>
  </si>
  <si>
    <t>The Knockout Phase</t>
  </si>
  <si>
    <t>Knockout Phase</t>
  </si>
  <si>
    <t>Before the start of the first 1/8 final it is possible to adjust your predictions for the knockout phase once.</t>
  </si>
  <si>
    <t>During the knockout phase, the result that is reached after the end of the regular playing time including the injury time will be used.</t>
  </si>
  <si>
    <t>A draw in the knockout phase is therefore also possible.</t>
  </si>
  <si>
    <t>Predicting the countries in the knockout phase</t>
  </si>
  <si>
    <t>In the knockout phase, it is not necessary to have correctly predicted the countries to claim points for</t>
  </si>
  <si>
    <t>In the knockout phase, one or both countries must have been correctly predicted in order to claim points for</t>
  </si>
  <si>
    <t>In the knockout phase, both countries must have been correctly predicted in order to claim points for</t>
  </si>
  <si>
    <t>(in the knockout phase, both countries must also have been correctly predicted).</t>
  </si>
  <si>
    <t>During the knockout phase, the result that is reached after the possible extra time, including the injury time, will be used.</t>
  </si>
  <si>
    <t>Voorspel de landen en de uitslag van de Finalewedstrijden en vul deze in op dit blad.</t>
  </si>
  <si>
    <t>Voorspel de landen en welk team de wedstrijd wint of een gelijkspel en vul dit in op dit blad.</t>
  </si>
  <si>
    <t>Voorspel de landen in de Finalewedstrijden en vul deze in op dit blad.</t>
  </si>
  <si>
    <t>For each final round, predict the countries and which team will win the match or a draw and enter this on this sheet.</t>
  </si>
  <si>
    <t>For each final round, predict the countries and enter them on this sheet.</t>
  </si>
  <si>
    <t>For each final round, predict the countries and the results and enter them on this sheet.</t>
  </si>
  <si>
    <t>Final Ranking Group Stage</t>
  </si>
  <si>
    <t>Predict the final ranking of the groups and fill this in on this sheet.</t>
  </si>
  <si>
    <t>Overview of the groups</t>
  </si>
  <si>
    <t>Final ranking in the group based on previous predictions</t>
  </si>
  <si>
    <t>Each country may only be entered once when predicting the final ranking in the group.</t>
  </si>
  <si>
    <t>Final Ranking Group</t>
  </si>
  <si>
    <t>Points Final Ranking Group</t>
  </si>
  <si>
    <t>www.excel-pool.nl/4best3</t>
  </si>
  <si>
    <t>Via onderstaande link kunt u de criteria vinden voor het bepalen van de 4 beste nummers 3 in de groepsfase.</t>
  </si>
  <si>
    <t>Via the link below you can find the criteria for determining the 4 best numbers 3 in the group phase.</t>
  </si>
  <si>
    <t>You will also find a table here to determine which team plays in which 1/8 final.</t>
  </si>
  <si>
    <t>Nr.1 Groep</t>
  </si>
  <si>
    <t>Nr.3 Groep</t>
  </si>
  <si>
    <t>Nr.2 Groep</t>
  </si>
  <si>
    <t>No.1 Group</t>
  </si>
  <si>
    <t>No.2 Group</t>
  </si>
  <si>
    <t>No.3 Group</t>
  </si>
  <si>
    <t>Win. Wedstrijd</t>
  </si>
  <si>
    <t>Verl. Wedstrijd</t>
  </si>
  <si>
    <t>Winner Match</t>
  </si>
  <si>
    <t>Loser Match</t>
  </si>
  <si>
    <t>VERTICAAL ZOEKEN</t>
  </si>
  <si>
    <t>ABCDEFGH</t>
  </si>
  <si>
    <r>
      <t xml:space="preserve">LANDEN IN GROEP </t>
    </r>
    <r>
      <rPr>
        <b/>
        <sz val="18"/>
        <rFont val="Calibri"/>
        <family val="2"/>
      </rPr>
      <t>→</t>
    </r>
  </si>
  <si>
    <t>CELLEN T.B.V. ZOEKEN EN SORTEREN LANDEN I.V.M. MEERDERE TALEN</t>
  </si>
  <si>
    <t>WEDSTRIJD →</t>
  </si>
  <si>
    <t>kwartfinales</t>
  </si>
  <si>
    <t>1/8 Finales</t>
  </si>
  <si>
    <t>A-F</t>
  </si>
  <si>
    <t>Alfabetische volgorde van de landen (afhankelijk van taal)</t>
  </si>
  <si>
    <t>uit (landen)</t>
  </si>
  <si>
    <t>thuis (landen)</t>
  </si>
  <si>
    <t>thuis code</t>
  </si>
  <si>
    <t>uit code</t>
  </si>
  <si>
    <t>thuis menu</t>
  </si>
  <si>
    <t>uit menu</t>
  </si>
  <si>
    <t>n.v.t.</t>
  </si>
  <si>
    <t>suggestie - winnaar</t>
  </si>
  <si>
    <t>W</t>
  </si>
  <si>
    <t>winnaar code</t>
  </si>
  <si>
    <t>winnaar menu</t>
  </si>
  <si>
    <t>winaar (landen)</t>
  </si>
  <si>
    <t>(LET OP: code is met winnaar van het toernooi)</t>
  </si>
  <si>
    <t>Code 1e</t>
  </si>
  <si>
    <t>Code 2e</t>
  </si>
  <si>
    <t>Code 3e</t>
  </si>
  <si>
    <t>Code 4e</t>
  </si>
  <si>
    <t>Het is niet toegestaan een land meerdere keren in te vullen in dezelfde speelronde.</t>
  </si>
  <si>
    <t>It is not allowed to predict a country multiple times in the same round.</t>
  </si>
  <si>
    <t>één rode kaart wordt geteld als twee gele kaarten, bij indirect rood worden de gele kaarten niet meegeteld.</t>
  </si>
  <si>
    <t>afhankelijk van het reglement worden de doelpunten gescoord tijdens de verlenging wel of niet meegeteld.</t>
  </si>
  <si>
    <t>alleen de doelpunten gescoord gedurende de reguliere speeltijd inclusief blessuretijd worden meegeteld.</t>
  </si>
  <si>
    <t>alleen de doelpunten gescoord gedurende de reguliere speeltijd, blessuretijd en eventuele verlenging worden meegeteld.</t>
  </si>
  <si>
    <t>The Open Questions</t>
  </si>
  <si>
    <t>only the goals scored during the regular playing time including injury time are counted.</t>
  </si>
  <si>
    <t>You receive ## point for every well-answered open question.</t>
  </si>
  <si>
    <t>You receive ## points for each well-answered open question.</t>
  </si>
  <si>
    <t>Voorspel de topscorer van het toernooi</t>
  </si>
  <si>
    <t>Voorspel een ​​speler die een eigen doelpunt scoort</t>
  </si>
  <si>
    <t>Voorspel een ​​speler die een rode kaart ontvangt</t>
  </si>
  <si>
    <t>Predict the top scorer of the tournament</t>
  </si>
  <si>
    <t>Predict a player who scores an own goal</t>
  </si>
  <si>
    <t>Predict a player who receives a red card</t>
  </si>
  <si>
    <t>Predict the top scorer of the national team</t>
  </si>
  <si>
    <t>Voorspel de topscorer van het Nationale elftal</t>
  </si>
  <si>
    <t>Voorspel de topscorer van het</t>
  </si>
  <si>
    <t>Predict the top scorer of the</t>
  </si>
  <si>
    <t>Predict the team with the most goals against</t>
  </si>
  <si>
    <t>Voorspel het elftal met de meeste doelpunten</t>
  </si>
  <si>
    <t>Voorspel het elftal met de meeste rode en gele kaarten</t>
  </si>
  <si>
    <t>Voorspel het elftal met de meeste doelpunten tegen</t>
  </si>
  <si>
    <t>Predict the country with the most red and yellow cards</t>
  </si>
  <si>
    <t>depending on the rules, the goals scored during the extra time may or may not be included in the count.</t>
  </si>
  <si>
    <t>only the goals scored during the regular playing time, injury time and possible extra time are counted.</t>
  </si>
  <si>
    <t>one red card will be counted as two yellow cards, in the case of indirect red the yellow cards will not be counted.</t>
  </si>
  <si>
    <t>Danish national team</t>
  </si>
  <si>
    <t>Dutch national team</t>
  </si>
  <si>
    <t>Totaal aantal gegeven gele kaarten tijdens het gehele toernooi</t>
  </si>
  <si>
    <t>Totaal aantal gegeven rode kaarten tijdens het gehele toernooi</t>
  </si>
  <si>
    <t>Aantal wedstrijden die eindigen in een gelijkspel voor beide teams</t>
  </si>
  <si>
    <t>Totaal aantal gescoorde doelpunten tijdens het gehele toernooi</t>
  </si>
  <si>
    <t>Aantal wedstrijden die eindigen in winst voor één van de teams</t>
  </si>
  <si>
    <t>de stand na de reguliere speeltijd inclusief blessuretijd wordt aangehouden.</t>
  </si>
  <si>
    <t>de stand na de reguliere speeltijd, blessurre tijd en eventuele verlenging wordt aangehouden.</t>
  </si>
  <si>
    <t>The Estimation Questions</t>
  </si>
  <si>
    <t>You receive ## points for each correctly answered estimination question.</t>
  </si>
  <si>
    <t>For each estimation question, the prediction that is closest to the outcome is rewarded with ## points.</t>
  </si>
  <si>
    <t>For each estimation question, the $$ predictions that are closest to the outcome are rewarded with ## points.</t>
  </si>
  <si>
    <t>For each estimation question, the prediction that is closest to the outcome is rewarded with  ## point.</t>
  </si>
  <si>
    <t>For each estimation question, the $$ predictions that are closest to the outcome are rewarded with ## point.</t>
  </si>
  <si>
    <t>You receive ## point for every correctly answered estimination question.</t>
  </si>
  <si>
    <t>For each point that the prediction deviates from the outcome, $$ points deduction applies to a maximum of ## points per estimation question. By default they receive ##points for each estimation question.</t>
  </si>
  <si>
    <t>For each point that the prediction deviates from the outcome, $$ point deduction applies to a maximum of ## points per estimation question. By default, people receive ## points for each estimation question.</t>
  </si>
  <si>
    <t>Total number of yellow cards given during the entire tournament</t>
  </si>
  <si>
    <t>Total number of red cards given during the entire tournament</t>
  </si>
  <si>
    <t>Total number of goals scored during the entire tournament</t>
  </si>
  <si>
    <t>Number of matches that end in a draw for both teams</t>
  </si>
  <si>
    <t>Number of matches that end in a win for one of the teams</t>
  </si>
  <si>
    <t>twee gele kaarten voor één speler in een wedstrijd zal worden geteld als één rode kaart.</t>
  </si>
  <si>
    <t>two yellow cards for one player in a match will be counted as one red card.</t>
  </si>
  <si>
    <t>the score after the regular playing time including injury time is normative.</t>
  </si>
  <si>
    <t>the score after the regular playing time, injury time and possible extra time is normative.</t>
  </si>
  <si>
    <t>TIP</t>
  </si>
  <si>
    <t>HINT</t>
  </si>
  <si>
    <t>To help you on your way, you can be given a suggestion based on previous predictions, provided that they have been fully completed. You are not obliged to follow this up.</t>
  </si>
  <si>
    <t>To help you on your way, you can be given a suggestion based on previous predictions, provided that they have been fully completed. You are not obliged to follow this up.. The predicted final ranking of the groups is used for the round of 16.</t>
  </si>
  <si>
    <t>do not display the suggestions</t>
  </si>
  <si>
    <t>always show the suggestions</t>
  </si>
  <si>
    <t>The Theses</t>
  </si>
  <si>
    <t>Voor elk goed beantwoorde openvraag ontvangt u ## punt.</t>
  </si>
  <si>
    <t>Voor elk goed beantwoorde openvraag ontvangt u ## punten.</t>
  </si>
  <si>
    <t>Voor elk goed beantwoorde benaderingsvraag ontvangt u ## punt.</t>
  </si>
  <si>
    <t>Voor elk goed beantwoorde benaderingsvraag ontvangt u ## punten.</t>
  </si>
  <si>
    <t>Men ontvangt standaard ### $$$ voor elk land tijdens de groepswedstrijden, mits de TOTO juist is.</t>
  </si>
  <si>
    <t>Men ontvangt standaard ### $$$ voor elk land tijdens de groepswedstrijden.</t>
  </si>
  <si>
    <t>Men ontvangt standaard ### $$$ per groepswedstrijd, mits de TOTO juist is.</t>
  </si>
  <si>
    <t>Men ontvangt standaard ### $$$ per groepswedstrijd.</t>
  </si>
  <si>
    <t>Men ontvangt standaard ### $$$ per finalewedstrijd, mits de TOTO juist is.</t>
  </si>
  <si>
    <t>Men ontvangt standaard ### $$$ per finalewedstrijd.</t>
  </si>
  <si>
    <t>Men ontvangt standaard ### $$$ per finalewedstrijd mits één of beide landen en de TOTO juist zijn.</t>
  </si>
  <si>
    <t>Men ontvangt standaard ### $$$ per finalewedstrijd mits één of beide landen juist zijn voorspeld.</t>
  </si>
  <si>
    <t>Men ontvangt standaard ### $$$ per juist voorspelde land tijdens de finalewedstrijden, mits de TOTO juist is.</t>
  </si>
  <si>
    <t>Men ontvangt standaard ### $$$ per juist voorspelde land tijdens de finalewedstrijden.</t>
  </si>
  <si>
    <t>Men ontvangt standaard ### $$$ per finalewedstrijd mits beide landen en de TOTO juist zijn voorspeld.</t>
  </si>
  <si>
    <t>Men ontvangt standaard ### $$$ per finalewedstrijd mits beide landen juist zijn voorspeld.</t>
  </si>
  <si>
    <t>You receive standard ### $$$ for each country during the group matches, provided the TOTO is correct.</t>
  </si>
  <si>
    <t>You receive standard ### $$$ for each country during the group matches.</t>
  </si>
  <si>
    <t>You receive standard ### $$$ per group match provided the TOTO is correct.</t>
  </si>
  <si>
    <t>You receive standard ### $$$ per group match.</t>
  </si>
  <si>
    <t>You receive standard ### $$$ per finals provided that the TOTO is predicted correctly.</t>
  </si>
  <si>
    <t>You receive standard ### $$$ per finals.</t>
  </si>
  <si>
    <t>You receive standard ### $$$ per finals provided that one or both countries and the TOTO is correct.</t>
  </si>
  <si>
    <t>You receive standard ### $$$ per finals provided that one or both countries are predicted correctly.</t>
  </si>
  <si>
    <t>You receive standard ### $$$ per correctly predicted country during the finals, provided the TOTO is correct.</t>
  </si>
  <si>
    <t>You receive standard ### $$$ per correctly predicted country during the finals.</t>
  </si>
  <si>
    <t>You receive standard ### $$$ per finals provided that both countries and the TOTO are predicted correctly.</t>
  </si>
  <si>
    <t>You receive standard ### $$$ per finals provided that both countries are predicted correctly.</t>
  </si>
  <si>
    <t>Voor elk goed beantwoorde stelling ontvangt u ## punt.</t>
  </si>
  <si>
    <t>Voor elk goed beantwoorde stelling ontvangt u ## punten.</t>
  </si>
  <si>
    <t>You receive ## point for each correct answer.</t>
  </si>
  <si>
    <t>You receive ## points for each correct answer.</t>
  </si>
  <si>
    <t>Eens</t>
  </si>
  <si>
    <t>Oneens</t>
  </si>
  <si>
    <t>True</t>
  </si>
  <si>
    <t>False</t>
  </si>
  <si>
    <t>The tournament</t>
  </si>
  <si>
    <t>matches of which</t>
  </si>
  <si>
    <t>Het toernooi bestaat</t>
  </si>
  <si>
    <t>finales.</t>
  </si>
  <si>
    <t>To help you on your way, you can be given a suggestion based on previous predictions, provided that they have been fully completed.</t>
  </si>
  <si>
    <t>Om u op weg te helpen kan op basis van voorgaande voorspellingen, mits volledig ingevuld, u een suggestie gegeven worden.</t>
  </si>
  <si>
    <t>Om u op weg te helpen kan op basis van voorgaande voorspellingen, mits volledig ingevuld, u een suggestie gegeven worden. U bent niet verplicht deze suggestie op te volgen. Voor de achste finales wordt de voorspelde eindstand van de groepen gebruikt.</t>
  </si>
  <si>
    <t>Om u op weg te helpen kan op basis van voorgaande voorspellingen, mits volledig ingevuld, u een suggestie gegeven worden. U bent niet verplicht deze suggestie op te volgen.</t>
  </si>
  <si>
    <t>stellingen</t>
  </si>
  <si>
    <t>De winnaar van het toernooi weet al zijn finalewedstrijden, 4 stuks, te winnen binnen de reguliere speeltijd (inclusief blessuretijd).</t>
  </si>
  <si>
    <t>In case of inconsistencies due to incorrect translation, the Dutch regulations prevail.</t>
  </si>
  <si>
    <t>In geval van tegenstrijdigheden als gevolg van incorrecte vertaling is het Nederlandstalige reglement maatgevend.</t>
  </si>
  <si>
    <t>The winner of the tournament knows all his final matches, 4 matches, to win within the regular playing time (including injury time).</t>
  </si>
  <si>
    <t>The winner of the tournament has a superior goal difference compare to the other teams. In case of  an equal goal difference, the goals scored are decisive.</t>
  </si>
  <si>
    <t>De winnaar van het toernooi heeft een beter doelsaldo dan de andere teams. In geval van een gelijk doelsaldo zijn de gescoorde doelpunten doorslaggevend.</t>
  </si>
  <si>
    <t>The winner of the tournament also supplies the top scorer of the tournament or one of the top scorers.</t>
  </si>
  <si>
    <t>During the tournament, a player manages to score three times or even more in one match. A so-called hat-trick. Goals during a penalty shootout do not count.</t>
  </si>
  <si>
    <t>finalisten 1/8 finales</t>
  </si>
  <si>
    <t>alle landen ingevuld</t>
  </si>
  <si>
    <t>eis JA minimaal :</t>
  </si>
  <si>
    <t>eis gelijk minimaal :</t>
  </si>
  <si>
    <t>eindstand voorspellen na eventuele verlenging :</t>
  </si>
  <si>
    <t>6.</t>
  </si>
  <si>
    <t>winnaar</t>
  </si>
  <si>
    <t>aantal winst :</t>
  </si>
  <si>
    <t>aantal geen winst :</t>
  </si>
  <si>
    <t>8.</t>
  </si>
  <si>
    <t>9.</t>
  </si>
  <si>
    <t>10.</t>
  </si>
  <si>
    <t>11.</t>
  </si>
  <si>
    <t>12.</t>
  </si>
  <si>
    <t>13.</t>
  </si>
  <si>
    <t>14.</t>
  </si>
  <si>
    <t>15.</t>
  </si>
  <si>
    <t>zie werkblad bonusvragen</t>
  </si>
  <si>
    <t>aanwezig/winst</t>
  </si>
  <si>
    <t>1/8 f</t>
  </si>
  <si>
    <t>1/4 f</t>
  </si>
  <si>
    <t>1/2 f</t>
  </si>
  <si>
    <t>eis winst minimaal :</t>
  </si>
  <si>
    <t>wijkt af ten opzichte van F2e en F3e</t>
  </si>
  <si>
    <t>onvoldoende gegevens voor suggestie</t>
  </si>
  <si>
    <t>doelpunt</t>
  </si>
  <si>
    <t>doelpunten</t>
  </si>
  <si>
    <t>geen enkele keer gelijkspel voorspeld</t>
  </si>
  <si>
    <t>keer gelijkspel voorspeld</t>
  </si>
  <si>
    <t>keer winst/verlies voorspeld</t>
  </si>
  <si>
    <t>suggestie is op basis van enkel de groepswedstrijden</t>
  </si>
  <si>
    <t>geen enkele keer winst / verlies voorspeld</t>
  </si>
  <si>
    <t>goal</t>
  </si>
  <si>
    <t>goals</t>
  </si>
  <si>
    <t>no draw predicted</t>
  </si>
  <si>
    <t>times draw predicted</t>
  </si>
  <si>
    <t>no win / loss predicted</t>
  </si>
  <si>
    <t>times win / loss predicted</t>
  </si>
  <si>
    <t>insufficient data for suggestion</t>
  </si>
  <si>
    <t>no suggestion possible</t>
  </si>
  <si>
    <t>suggestion is based on the group matches only</t>
  </si>
  <si>
    <t>The Participation Code</t>
  </si>
  <si>
    <t>In the field below, your participation code will be generated if all fields are filled in completely and correctly.</t>
  </si>
  <si>
    <t>In het onderstaande veld zal uw deelnamecode gegenereerd worden als alle velden volledig en goed zijn ingevuld.</t>
  </si>
  <si>
    <t>Gegevens Deelnemer</t>
  </si>
  <si>
    <t>Generating the name code is not possible due to the lack of your name. Enter your name at the top of</t>
  </si>
  <si>
    <t>the "Group Matches" worksheet.</t>
  </si>
  <si>
    <t>Generating the name code is not possible due to the lack of your e-mail address. Enter your e-mail</t>
  </si>
  <si>
    <t>address at the top of the "Group competitions" worksheet.</t>
  </si>
  <si>
    <t>Generating the name code including e-mail address is not possible due to the lack of data. Enter</t>
  </si>
  <si>
    <t>your name and e-mail address at the top of the "Group Matches" worksheet.</t>
  </si>
  <si>
    <t>The name code including e-mail address is generated without any errors.</t>
  </si>
  <si>
    <t>The name code is generated without any errors.</t>
  </si>
  <si>
    <t>An error was detected when generating the name code. Check your name at the top of the</t>
  </si>
  <si>
    <t>"Group Matches" worksheet.</t>
  </si>
  <si>
    <t>An error was detected when generating the name code. Check your e-mail address at the top of</t>
  </si>
  <si>
    <t>An error was detected when generating the name code with e-mail address. Check your name</t>
  </si>
  <si>
    <t>and e-mail address at the top of the "Group Matches" worksheet.</t>
  </si>
  <si>
    <t>Voorspellingen Groepswedstrijden</t>
  </si>
  <si>
    <t>Predictions Group Matches</t>
  </si>
  <si>
    <t>The participation code for the group matches is generated without errors.</t>
  </si>
  <si>
    <t>It is not possible to generate the participation code for the group matches due to the lack of data.</t>
  </si>
  <si>
    <t>Check that all fields are filled in on the "Group Matches" worksheet.</t>
  </si>
  <si>
    <t>An error was detected when generating the participation code for the group matches. Check your</t>
  </si>
  <si>
    <t>entry on the "Group Matches" worksheet.</t>
  </si>
  <si>
    <t>Errors were found when generating the participation code for the group matches. Check your entry</t>
  </si>
  <si>
    <t>on the "Group Matches" worksheet.</t>
  </si>
  <si>
    <t>The participation code for the final matches is generated without errors.</t>
  </si>
  <si>
    <t>The participation code for the final ranking in the group is generated without errors.</t>
  </si>
  <si>
    <t>The participation code for the bonus questions is generated without errors.</t>
  </si>
  <si>
    <t>Predictions Final matches</t>
  </si>
  <si>
    <t>Voorspellingen Finalewedstrijden</t>
  </si>
  <si>
    <t>Voorspellingen Eindstand in de Groep</t>
  </si>
  <si>
    <t>It is not possible to generate the participation code for the final matches due to the lack of data.</t>
  </si>
  <si>
    <t>Check that all fields are filled in on the "Final Matches" worksheet.</t>
  </si>
  <si>
    <t>An error was detected when generating the participation code for the final matches. Check your entry</t>
  </si>
  <si>
    <t>on the "Final Matches" worksheet.</t>
  </si>
  <si>
    <t>Errors were found when generating the participation code for the final matches. Check your entry on</t>
  </si>
  <si>
    <t>the "Final Matches" worksheet.</t>
  </si>
  <si>
    <t>It is not possible to generate the participation code for the final ranking in the group due to the lack</t>
  </si>
  <si>
    <t>of data. Check whether all fields are filled in on the "Final Ranking Group" worksheet.</t>
  </si>
  <si>
    <t>An error was detected when generating the participation code for the final ranking in the group.</t>
  </si>
  <si>
    <t>Errors were found when generating the participation code for the final ranking in the group. Check</t>
  </si>
  <si>
    <t>your entry on the "Final Ranking Group" worksheet.</t>
  </si>
  <si>
    <t>Check your entry on the "Final Ranking Group" worksheet.</t>
  </si>
  <si>
    <t>Bonus questions</t>
  </si>
  <si>
    <t>It is not possible to generate the participation code for the bonus questions due to the lack of data.</t>
  </si>
  <si>
    <t>Check if all fields are filled in on the "Bonus Questions" worksheet.</t>
  </si>
  <si>
    <t>An error was detected when generating the participation code for the bonus questions. Check your</t>
  </si>
  <si>
    <t>entry on the "Bonus Questions" worksheet.</t>
  </si>
  <si>
    <t>Errors were found when generating the participation code for the bonus questions. Check your entry</t>
  </si>
  <si>
    <t>on the "Bonus Questions" worksheet.</t>
  </si>
  <si>
    <t>Predicting the final ranking of the countries in the group stage</t>
  </si>
  <si>
    <t>Predictions Final Ranking Group Stage</t>
  </si>
  <si>
    <t>Name Participant</t>
  </si>
  <si>
    <t>De deelnamecode kan niet worden gegenereerd door het ontbreken van gegevens of foutieve waarden. Het gaat om de volgende onderdelen</t>
  </si>
  <si>
    <t>The participation code cannot be generated due to the absence of the rules. Ask your organizer to add the rules to your participation form.</t>
  </si>
  <si>
    <t>Checking the Form's Input Fields</t>
  </si>
  <si>
    <t>De deelnamecode kan niet worden gegenereerd door het ontbreken van gegevens of foutieve waarden. Het gaat om het volgende onderdeel</t>
  </si>
  <si>
    <t>The entry code cannot be generated due to lack of data or incorrect values. It involves the following input field</t>
  </si>
  <si>
    <t>The entry code cannot be generated due to lack of data or incorrect values. It concerns the following input fields</t>
  </si>
  <si>
    <t>Aantal landen</t>
  </si>
  <si>
    <t>Aantal groepen</t>
  </si>
  <si>
    <t>Aantal groepswedstrijden</t>
  </si>
  <si>
    <t>Aantal finales</t>
  </si>
  <si>
    <t>g1/e1/f1</t>
  </si>
  <si>
    <t>g2/f2</t>
  </si>
  <si>
    <t>f3</t>
  </si>
  <si>
    <t>LENGTE CODE</t>
  </si>
  <si>
    <t>AANTAL GOED</t>
  </si>
  <si>
    <t>EK VERSUS WK - CONTROLE CODE</t>
  </si>
  <si>
    <r>
      <rPr>
        <sz val="10"/>
        <color theme="0"/>
        <rFont val="Arial"/>
        <family val="2"/>
      </rPr>
      <t>└</t>
    </r>
    <r>
      <rPr>
        <sz val="10"/>
        <color theme="0"/>
        <rFont val="Calibri"/>
        <family val="2"/>
      </rPr>
      <t xml:space="preserve"> code zonder winnaar :</t>
    </r>
  </si>
  <si>
    <t>LET OP: Voor een optimaal gebruik van dit bestand wordt geadviseerd om de macro's in te schakelen.</t>
  </si>
  <si>
    <t>e-mailadres is niet verplicht</t>
  </si>
  <si>
    <t>e-mail address is not required</t>
  </si>
  <si>
    <t>Het Algemeen Reglement</t>
  </si>
  <si>
    <t>De deelnamecode kan niet worden gegenereerd door het ontbreken van het reglement. Vraag uw organisator om het reglement toe te voegen aan uw deelname formulier.</t>
  </si>
  <si>
    <t>Dit bestand betreft een …. versie :</t>
  </si>
  <si>
    <t>Deel van inleg naar …</t>
  </si>
  <si>
    <t>deel inleg</t>
  </si>
  <si>
    <t>Deel van de inleg naar …</t>
  </si>
  <si>
    <t>deel van de inleg</t>
  </si>
  <si>
    <t>(A,B,C = JA, D = NEE)</t>
  </si>
  <si>
    <t>Van de inleg gaat ### naar de prijzenpot. Het restant komt ten goede aan de organisatie van de pool.</t>
  </si>
  <si>
    <t>From the buy-in, ### goes to the prize pool. The remainder will go the organization of the pool.</t>
  </si>
  <si>
    <t>Voor iedere deelnemer zal de organisatie van de pool ### extra inleggen in de prijzenpot.</t>
  </si>
  <si>
    <t>For each participant, the organization of the pool will put an extra ### in the prize pool.</t>
  </si>
  <si>
    <t>Voor elk punt dat de voorspelling afwijkt van de uitkomst $$ punt aftrek tot een maximum van ## punten per benaderingsvraag. Standaard ontvangt men voor elke benaderingsvraag ## punten.</t>
  </si>
  <si>
    <t>Voor elk punt dat de voorspelling afwijkt van de uitkomst $$ punten aftrek tot een maximum van ## punten per benaderingsvraag. Standaard ontvangt men voor elke benaderingsvraag ## punten.</t>
  </si>
  <si>
    <t>Per benaderingsvraag wordt de voorspelling die het dichtst bij de uitkomst ligt beloond met ## punt.</t>
  </si>
  <si>
    <t>Per benaderingsvraag wordt de voorspelling die het dichtst bij de uitkomst ligt beloond met ## punten.</t>
  </si>
  <si>
    <t>Per benaderingsvraag worden de $$ voorspellingen die het dichtst bij de uitkomst liggen beloond met ## punt.</t>
  </si>
  <si>
    <t>Per benaderingsvraag worden de $$ voorspellingen die het dichtst bij de uitkomst liggen beloond met ## punten.</t>
  </si>
  <si>
    <t>Predict the team that will score the most goals.</t>
  </si>
  <si>
    <t>for every correctly predicted country in the final</t>
  </si>
  <si>
    <t>for every correctly predicted country in the consolation final</t>
  </si>
  <si>
    <t>for every correctly predicted country in the semi-finals</t>
  </si>
  <si>
    <t>for every correctly predicted country in the quarterfinals</t>
  </si>
  <si>
    <t>for every correctly predicted country in the round of 16</t>
  </si>
  <si>
    <t>If you have not predicted the country in the correctly position but it has achieved the same knockout round,</t>
  </si>
  <si>
    <t>you will still receive half of the points for correctly predicting the country.</t>
  </si>
  <si>
    <t>you will receive the full points for correctly predicting the country.</t>
  </si>
  <si>
    <t>It is not allowed to predict a country multiple times in one knockout round.</t>
  </si>
  <si>
    <t>It is allowed to predict a country multiple times in one knockout round.</t>
  </si>
  <si>
    <t>Points for correctly predicting a country in the knockout phase are added when the result of the match</t>
  </si>
  <si>
    <t>in question is known.</t>
  </si>
  <si>
    <t>Bonus $$$ for every knockout match where both countries are predicted in the right position.</t>
  </si>
  <si>
    <t>Bonus $$$ for every knockout match where both the TOTO and the two countries are correctly predicted.</t>
  </si>
  <si>
    <t>reglement dubbel :</t>
  </si>
  <si>
    <t>German (under development)</t>
  </si>
  <si>
    <t>Der Administrator Datei</t>
  </si>
  <si>
    <t>Betaversion</t>
  </si>
  <si>
    <t>Demoversion</t>
  </si>
  <si>
    <t>Vorschauversion</t>
  </si>
  <si>
    <t>Zusätzliches Administratormodul für die Organisatoren</t>
  </si>
  <si>
    <t>Das Teilnahmeformular</t>
  </si>
  <si>
    <t>Das Excel-Teilnahmeformular</t>
  </si>
  <si>
    <t>Externes Ranking</t>
  </si>
  <si>
    <t>Erweiterungsmodul für die Managerakte</t>
  </si>
  <si>
    <t>Update für den Excel EM Pool auf Version</t>
  </si>
  <si>
    <t>Hilfedatei für Excel-pool.nl</t>
  </si>
  <si>
    <t>BITTE BEACHTEN: Für die optionale Verwendung der Manager-Datei wird empfohlen, die Makros zu aktivieren.</t>
  </si>
  <si>
    <t>ACHTUNG: Dieses Modul verwendet Makros. Es wird empfohlen, die Makros zu aktivieren.</t>
  </si>
  <si>
    <t>BITTE BEACHTEN SIE: Dieses Formular enthält keine Regeln. Bitten Sie Ihren Organisator, diese hinzuzufügen.</t>
  </si>
  <si>
    <t>BITTE BEACHTEN: Dieses Modul verwendet Makros und ist für maximal ### Teilnehmer geeignet.</t>
  </si>
  <si>
    <t>BITTE BEACHTEN: Dieses externe Ranking verwendet Makros und ist für maximal ### Teilnehmer geeignet.</t>
  </si>
  <si>
    <t>BITTE BEACHTEN: Dieses Update verwendet Makros. Es wird empfohlen, die Makros zu aktivieren.</t>
  </si>
  <si>
    <t>Teilnehmer</t>
  </si>
  <si>
    <t>Startseite</t>
  </si>
  <si>
    <t>Regeln</t>
  </si>
  <si>
    <t>Gewinntopf</t>
  </si>
  <si>
    <t>Gruppenspiele</t>
  </si>
  <si>
    <t>Endgültige Ranglistengruppe</t>
  </si>
  <si>
    <t>Endspiele</t>
  </si>
  <si>
    <t>Bonusfragen</t>
  </si>
  <si>
    <t>Teilnahmecode</t>
  </si>
  <si>
    <t>Regelanzeige</t>
  </si>
  <si>
    <t>Manager-Anzeige</t>
  </si>
  <si>
    <t>Ergebnisse</t>
  </si>
  <si>
    <t>Offene Fragen</t>
  </si>
  <si>
    <t>Punkte Gruppenspiele</t>
  </si>
  <si>
    <t>Punkte Finale Rangliste Gruppe</t>
  </si>
  <si>
    <t>Punkte Endspiele</t>
  </si>
  <si>
    <t>Fragen zum Punktebonus</t>
  </si>
  <si>
    <t>Rangfolge</t>
  </si>
  <si>
    <t>Vorhersagen</t>
  </si>
  <si>
    <t>Notizblock</t>
  </si>
  <si>
    <t>Einrichten von Teams</t>
  </si>
  <si>
    <t>Teams Instellen</t>
  </si>
  <si>
    <t>Setting Up Teams</t>
  </si>
  <si>
    <t>Teams</t>
  </si>
  <si>
    <t>Gruppe A</t>
  </si>
  <si>
    <t>Schweiz</t>
  </si>
  <si>
    <t>Gruppe B</t>
  </si>
  <si>
    <t>Dänemark</t>
  </si>
  <si>
    <t>Belgien</t>
  </si>
  <si>
    <t>Gruppe C</t>
  </si>
  <si>
    <t>Niederlande</t>
  </si>
  <si>
    <t>Gruppe D</t>
  </si>
  <si>
    <t>Kroatien</t>
  </si>
  <si>
    <t>Gruppe E</t>
  </si>
  <si>
    <t>Spanien</t>
  </si>
  <si>
    <t>Gruppe F</t>
  </si>
  <si>
    <t>Frankreich</t>
  </si>
  <si>
    <t>Deutschland</t>
  </si>
  <si>
    <t>Gruppe G</t>
  </si>
  <si>
    <t>Gruppe H</t>
  </si>
  <si>
    <t>Belgische Nationalmannschaft</t>
  </si>
  <si>
    <t>Dänische Nationalmannschaft</t>
  </si>
  <si>
    <t>Französische Nationalmannschaft</t>
  </si>
  <si>
    <t>Kroatische Nationalmannschaft</t>
  </si>
  <si>
    <t>Niederländische Nationalmannschaft</t>
  </si>
  <si>
    <t>Spanische Nationalmannschaft</t>
  </si>
  <si>
    <t>Schweizer Nationalmannschaft</t>
  </si>
  <si>
    <t>Die Teilnahmebedingungen</t>
  </si>
  <si>
    <t>(Seite #)</t>
  </si>
  <si>
    <t>Die Regeln</t>
  </si>
  <si>
    <t>Der Teilnahmecode und / oder das Teilnahmeformular müssen vor ### an $$$ (&amp;&amp;&amp;) gesendet werden.</t>
  </si>
  <si>
    <t>Der Teilnahmecode und / oder das Teilnahmeformular müssen vor ### per E-Mail an "&amp;&amp;&amp;" gesendet werden.</t>
  </si>
  <si>
    <t>Das Einstz muss ebenfalls vor dem Closing-Datum bezahlt werden.</t>
  </si>
  <si>
    <t>Erfolgt dies nicht rechtzeitig, wird die Teilnahme für ungültig erklärt.</t>
  </si>
  <si>
    <t>Nach Beginn der Eröffnungszeremonie ist es nicht mehr möglich, Ihre Prognosen anzupassen.</t>
  </si>
  <si>
    <t>Vor dem Start des ersten 1/8-Finales können Sie Ihre Vorhersagen für die Ko-Phase einmal anpassen.</t>
  </si>
  <si>
    <t>An diesem Pool ist die Teilnahme kostenlos und daher ist kein Einstz für die Teilnahme erforderlich.</t>
  </si>
  <si>
    <t>Trotz des Preispools ist die Teilnahme an diesem Pool kostenlos</t>
  </si>
  <si>
    <t>Dieser Pool hat ein obligatorisches Einsatz von € ### für die Teilnahme</t>
  </si>
  <si>
    <t>Dieser Pool hat ein optionales Einsatz von € ### für die Teilnahme</t>
  </si>
  <si>
    <t>(Siehe Arbeitsblatt 'Prijzenpot' für weitere Informationen).</t>
  </si>
  <si>
    <t>(Weitere Informationen finden Sie auf der nächsten Seite).</t>
  </si>
  <si>
    <t>Als Teilnehmer ist es erlaubt, mehrere Teilnahmeformulare einzureichen.</t>
  </si>
  <si>
    <t>Als Teilnehmer ist es nicht gestattet, mehrere Teilnahmeformulare einzureichen.</t>
  </si>
  <si>
    <t>Es ist nicht möglich, Ergebnisse vorherzusagen, bei denen eine Mannschaft mehr als 9 Tore erzielt. Wenn eine Mannschaft in einem Spiel mehr als 9 Tore erzielt, werden 9 Tore für das Ergebnis vermerkt.</t>
  </si>
  <si>
    <t>Um die TOTO vorherzusagen, geben Sie eine 1 ein, wenn Sie glauben, dass die Heimmannschaft gewinnen wird, eine 2, wenn Sie glauben, dass die Auswärtsmannschaft gewinnen wird, und wenn Sie ein Unentschieden erwarten, geben Sie eine 3 ein.</t>
  </si>
  <si>
    <t>Während der Ko-Phase wird das Ergebnis verwendet, das nach dem Ende der regulären Spielzeit einschließlich der Verletzungszeit erreicht wird.</t>
  </si>
  <si>
    <t>In der K.-o.-Phase wird das Ergebnis verwendet, das nach der möglichen Verlängerung einschließlich der Nachspielzeit erreicht wird.</t>
  </si>
  <si>
    <t>Ein Unentschieden in der K.-o.-Phase ist daher auch möglich.</t>
  </si>
  <si>
    <t>In allen Fällen, für die dieses Reglement nicht vorsieht, trifft der Veranstalter die endgültige Entscheidung.</t>
  </si>
  <si>
    <t>Mit dem Absenden des Teilnahmeformulars erklären Sie sich mit diesen Gewinnspielregeln einverstanden.</t>
  </si>
  <si>
    <t>Januar</t>
  </si>
  <si>
    <t>Februar</t>
  </si>
  <si>
    <t>März</t>
  </si>
  <si>
    <t>Mai</t>
  </si>
  <si>
    <t>Juni</t>
  </si>
  <si>
    <t>Juli</t>
  </si>
  <si>
    <t>Oktober</t>
  </si>
  <si>
    <t>Dezember</t>
  </si>
  <si>
    <t>Die Punktzahl</t>
  </si>
  <si>
    <t>Punkt</t>
  </si>
  <si>
    <t>Punkte</t>
  </si>
  <si>
    <t>Vorhersage der Länder in der K.-o.-Phase</t>
  </si>
  <si>
    <t>das Land muss nicht in der richtigen Position sein</t>
  </si>
  <si>
    <t>das Land muss in der richtigen Position sein</t>
  </si>
  <si>
    <t>für jedes richtig vorhergesagte Land im Finale</t>
  </si>
  <si>
    <t>für jedes richtig vorhergesagte Land im Trostfinale</t>
  </si>
  <si>
    <t>für jedes richtig vorhergesagte Land im Halbfinale</t>
  </si>
  <si>
    <t>für jedes richtig vorhergesagte Land im Viertelfinale</t>
  </si>
  <si>
    <t>für jedes richtig vorhergesagte Land im Achtelfinale</t>
  </si>
  <si>
    <t>Wenn Sie das Land nicht in der richtigen Position vorhergesagt haben, es aber dieselbe K.-o.-Runde erreicht hat,</t>
  </si>
  <si>
    <t>Sie erhalten immer noch die Hälfte der Punkte für die korrekte Vorhersage des Landes.</t>
  </si>
  <si>
    <t>Sie erhalten die volle Punktzahl für die korrekte Vorhersage des Landes.</t>
  </si>
  <si>
    <t>Es ist nicht erlaubt, ein Land in einer Ko-Runde mehrmals vorherzusagen.</t>
  </si>
  <si>
    <t>Es ist erlaubt, ein Land mehrmals in einer K.-o.-Runde vorherzusagen.</t>
  </si>
  <si>
    <t>Punkte für die korrekte Vorhersage eines Landes in der K.-o.-Phase werden hinzugefügt, wenn das Ergebnis des Spiels</t>
  </si>
  <si>
    <t>das Ergebnis des jeweiligen Spiels bekannt ist.</t>
  </si>
  <si>
    <t>das Ergebnis des betreffenden Spiels bekannt ist oder das vorhergesagte Land sein Spiel gespielt hat.</t>
  </si>
  <si>
    <t>Vorhersage der endgültigen Rangliste der Länder in der Gruppenphase</t>
  </si>
  <si>
    <t>Punkte für die korrekte Vorhersage der Position der Länder in jeder Gruppe nach der Gruppenphase.</t>
  </si>
  <si>
    <t>Jedes Land darf nur einmal bei der Vorhersage der Endplatzierung in der Gruppe gemeldet werden.</t>
  </si>
  <si>
    <t>Die Punkte für jede richtige Vorhersage werden erst addiert, wenn das letzte Spiel der Gruppe gespielt wurde.</t>
  </si>
  <si>
    <t>Vorhersage der TOTO</t>
  </si>
  <si>
    <t>für die korrekte Vorhersage des TOTO (Sieg / Niederlage oder Unentschieden).</t>
  </si>
  <si>
    <t>In der K.-o.-Phase ist es nicht erforderlich, die Länder richtig vorhergesagt zu haben, um Punkte zu beanspruchen</t>
  </si>
  <si>
    <t>In der K.-o.-Phase müssen ein oder beide Länder richtig vorhergesagt worden sein, um Punkte für</t>
  </si>
  <si>
    <t>In der K.-o.-Phase müssen beide Länder richtig vorhergesagt worden sein, um Punkte für</t>
  </si>
  <si>
    <t>Vorhersage des TOTO.</t>
  </si>
  <si>
    <t>Vorhersage des Spielergebnisses</t>
  </si>
  <si>
    <t>für die korrekte Vorhersage der Anzahl der pro Team erzielten Tore.</t>
  </si>
  <si>
    <t>für die korrekte Vorhersage der Anzahl der pro Mannschaft erzielten Tore, vorausgesetzt, Sie haben richtig vorhergesagt</t>
  </si>
  <si>
    <t>der TOTO.</t>
  </si>
  <si>
    <t>Abzug für jedes Tor, bei dem die Vorhersage vom Ergebnis abweicht.</t>
  </si>
  <si>
    <t>Abzug für jedes Tor, bei dem die Vorhersage vom Ergebnis abweicht (vom korrekt vorhergesagten Land).</t>
  </si>
  <si>
    <t>Sie erhalten während der Gruppenspiele Standard ### $$$ für jedes Land, sofern die TOTO korrekt ist.</t>
  </si>
  <si>
    <t>Sie erhalten während der Gruppenspiele Standard ### $$$ für jedes Land.</t>
  </si>
  <si>
    <t>Sie erhalten Standard ### $$$ pro Gruppenspiel, vorausgesetzt, die TOTO ist korrekt.</t>
  </si>
  <si>
    <t>Sie erhalten Standard ### $$$ pro Gruppenspiel.</t>
  </si>
  <si>
    <t>Sie erhalten Standard ### $$$ pro Finale, vorausgesetzt, das TOTO wird richtig vorhergesagt.</t>
  </si>
  <si>
    <t>Sie erhalten Standard ### $$$ pro Finale.</t>
  </si>
  <si>
    <t>Sie erhalten Standard ### $$$ pro Finale, vorausgesetzt, dass ein oder beide Länder und die TOTO korrekt sind.</t>
  </si>
  <si>
    <t>Sie erhalten Standard ### $$$ pro Finale, vorausgesetzt, eines oder beide Länder werden korrekt vorhergesagt.</t>
  </si>
  <si>
    <t>Sie erhalten während des Finales Standard ### $$$ pro korrekt vorhergesagtem Land, vorausgesetzt, die TOTO ist korrekt.</t>
  </si>
  <si>
    <t>Sie erhalten während des Finales Standard ### $$$ für jedes richtig vorhergesagte Land.</t>
  </si>
  <si>
    <t>Sie erhalten Standard ### $$$ pro Finale, vorausgesetzt, dass beide Länder und die TOTO richtig vorhergesagt werden.</t>
  </si>
  <si>
    <t>Sie erhalten Standard ### $$$ pro Finale, vorausgesetzt, beide Länder werden richtig vorhergesagt.</t>
  </si>
  <si>
    <t>Der Punktabzug wird nie höher sein als die erhaltenen Standardpunkte.</t>
  </si>
  <si>
    <t>Der Punktabzug pro Land wird nie höher sein als die Standardpunkte pro Land.</t>
  </si>
  <si>
    <t>Bonuspunkte</t>
  </si>
  <si>
    <t>Bonus $$$ für jedes KO-Spiel, bei dem beide Länder in der richtigen Position vorhergesagt werden.</t>
  </si>
  <si>
    <t>(In der Ko-Phase müssen beide Länder ebenfalls korrekt vorhergesagt worden sein).</t>
  </si>
  <si>
    <t>Die Bonusfragen</t>
  </si>
  <si>
    <t>Die Punkte für die richtige Beantwortung der Bonusfragen sind auf dem Arbeitsblatt mit den Bonusfragen angegeben.</t>
  </si>
  <si>
    <t>Die Punkte für die richtige Beantwortung der Bonusfragen werden auf der Seite mit den Bonusfragen angezeigt.</t>
  </si>
  <si>
    <t>Bei Unstimmigkeiten aufgrund einer fehlerhaften Übersetzung gelten die niederländischen Vorschriften.</t>
  </si>
  <si>
    <t>Der Gewinntopf</t>
  </si>
  <si>
    <t>Um an diesem Pool teilnehmen zu können, müssen Sie den Einsatz bezahlen.</t>
  </si>
  <si>
    <t>Das Einsatz für diesen Pool beträgt ###.</t>
  </si>
  <si>
    <t>Das Einsatz für die Teilnahme an diesem Pool beträgt ###. Sie können auch kostenlos teilnehmen.</t>
  </si>
  <si>
    <t>Sie können jedoch am Ende des Turniers keinen der Preise beanspruchen¹.</t>
  </si>
  <si>
    <t>Die Teilnahme an diesem Pool ist kostenlos. Daher ist kein Einsatz</t>
  </si>
  <si>
    <t>erforderlich, um einen der Preise am Ende des Turniers zu beanspruchen.</t>
  </si>
  <si>
    <t>„Das Einsatz muss vor Turnierbeginn an den Veranstalter gezahlt werden.</t>
  </si>
  <si>
    <t>Wenn dies nicht rechtzeitig erfolgt, wird Ihre Teilnahme für ungültig erklärt.</t>
  </si>
  <si>
    <t>„Das optionale Einsatz muss vor Turnierbeginn an den Veranstalter gezahlt werden.</t>
  </si>
  <si>
    <t>Geschieht dies nicht rechtzeitig, nehmen Sie auch nicht am Preispool teil.</t>
  </si>
  <si>
    <t>Das Einsatz muss in bar bezahlt werden.</t>
  </si>
  <si>
    <t>Das  muss per Banküberweisung bezahlt werden.</t>
  </si>
  <si>
    <t>Das Einsatz muss in bar bezahlt oder per Banküberweisung überwiesen werden.</t>
  </si>
  <si>
    <t>Das Einsatz muss über eine Zahlungsaufforderung bezahlt werden, die Ihnen der Veranstalter zusendet.</t>
  </si>
  <si>
    <t>Das Einsatz muss in bar oder durch eine Zahlungsaufforderung, die Ihnen der Veranstalter zusendet, bezahlt werden.</t>
  </si>
  <si>
    <t>Bankkonto</t>
  </si>
  <si>
    <t>Kontobezeichnung</t>
  </si>
  <si>
    <t>Zahlungsreferenz</t>
  </si>
  <si>
    <t>### des Einsatz gehen an wohltätige Zwecke ($$$).</t>
  </si>
  <si>
    <t>Vom Einsatz geht ### in den Preispool. Der Rest wird für die Organisation des Pools verwendet.</t>
  </si>
  <si>
    <t>Für jeden Teilnehmer bringt die Organisation des Pools ein zusätzliches ### in den Gewinntopf.</t>
  </si>
  <si>
    <t>Wenn mehrere Spieler in derselben Position sind und Anspruch auf einen der Preise haben, Dann wird die Summe</t>
  </si>
  <si>
    <t>Die Summe des Preisgeldes für die geteilten Plätze wird unter den jeweiligen Spielern aufgeteilt.</t>
  </si>
  <si>
    <t>Die Verteilung des Preisgeldes ist wie folgt:</t>
  </si>
  <si>
    <t>des Gewinntopf</t>
  </si>
  <si>
    <t>Außerdem gibt es verschiedene Trostpreise für diejenigen, die neben den Preisen greifen.</t>
  </si>
  <si>
    <t>Auch für die Zahl ### gibt es einen Trostpreis als Trost für das Ergreifen der Preise.</t>
  </si>
  <si>
    <t>Auch für die Nr. ### und $$$ Trostpreise sind für diejenigen erhältlich, die nur neben den Preisen greifen.</t>
  </si>
  <si>
    <t>Außerdem gibt es Trostpreise für Nr. ### bis $$$ für diejenigen, die direkt neben den Preisen greifen.</t>
  </si>
  <si>
    <t>Darüber hinaus gibt es verschiedene Pudelpreise für diejenigen, die unten enden.</t>
  </si>
  <si>
    <t>Außerdem erhält der niedrigste Teilnehmer im Anschluss einen Pudelpreis.</t>
  </si>
  <si>
    <t>Außerdem erhalten die ### am schlechtesten bewerteten Teilnehmer im Anschluss jeweils einen Pudelpreis.</t>
  </si>
  <si>
    <t>Wenn ein nicht zahlender Teilnehmer für einen der Preise berechtigt ist, wird der Preis an den nächsten weitergegeben</t>
  </si>
  <si>
    <t>zahlender Teilnehmer in der Rangliste.</t>
  </si>
  <si>
    <t>Teilnahmeformular</t>
  </si>
  <si>
    <t>Excel-Teilnahmeformular</t>
  </si>
  <si>
    <t>Gruppenbühne</t>
  </si>
  <si>
    <t>Endgültige Rangliste Gruppenphase</t>
  </si>
  <si>
    <t>Knockout-Phase</t>
  </si>
  <si>
    <t>Email</t>
  </si>
  <si>
    <t>(max. ## Zeichen)</t>
  </si>
  <si>
    <t>E-Mail-Adresse ist nicht erforderlich</t>
  </si>
  <si>
    <t>Zeit</t>
  </si>
  <si>
    <t>Spiel</t>
  </si>
  <si>
    <t>Ergebnis</t>
  </si>
  <si>
    <t>Alle Zeiten sind mitteleuropäische Zeit (UCT + 1)</t>
  </si>
  <si>
    <t>Gruppe</t>
  </si>
  <si>
    <t>Runde 16</t>
  </si>
  <si>
    <t>Viertel Finale</t>
  </si>
  <si>
    <t>Semifinale</t>
  </si>
  <si>
    <t>Trost Finale</t>
  </si>
  <si>
    <t>1 Sieg für die Heimmannschaft, 2 Sieg für die Auswärtsmannschaft, 3 Unentschieden</t>
  </si>
  <si>
    <t>zeige immer die Vorschläge</t>
  </si>
  <si>
    <t>Vorschläge nach Fertigstellung ausblenden</t>
  </si>
  <si>
    <t>Vorschläge nicht anzeigen</t>
  </si>
  <si>
    <t>Hinweise zum Ausfüllen des Formulars</t>
  </si>
  <si>
    <t>Die Hintergrundfarbe der auszufüllenden Felder zeigt den Status des Feldes an. Dieser Status entspricht der Tabelle rechts.</t>
  </si>
  <si>
    <t>Richtig eingegeben</t>
  </si>
  <si>
    <t>Kein Wert eingegeben</t>
  </si>
  <si>
    <t>Falsch eingegeben</t>
  </si>
  <si>
    <t>Sagen Sie die Ergebnisse der Gruppenspiele voraus und tragen Sie diese in dieses Blatt ein.</t>
  </si>
  <si>
    <t>Sagen Sie voraus, welches Team das Spiel oder ein Unentschieden gewinnt und tragen Sie dies in dieses Blatt ein.</t>
  </si>
  <si>
    <t>Sagen Sie die endgültige Rangfolge der Gruppen voraus und tragen Sie diese in dieses Blatt ein.</t>
  </si>
  <si>
    <t>Jedes Land darf nur einmal bei der Vorhersage der Ergebnisse der Gruppen angegeben werden.</t>
  </si>
  <si>
    <t>Übersicht der Gruppen</t>
  </si>
  <si>
    <t>Um Ihnen auf Ihrem Weg zu helfen, können Sie auf der Grundlage früherer Vorhersagen einen Vorschlag erhalten, sofern diese vollständig ausgeführt wurden. Sie müssen diesem Vorschlag nicht folgen.</t>
  </si>
  <si>
    <t>Endgültige Platzierung in der Gruppe basierend auf früheren Vorhersagen</t>
  </si>
  <si>
    <t>Tore für</t>
  </si>
  <si>
    <t>Tore gegen</t>
  </si>
  <si>
    <t>HINWEIS: Nicht alle Spiele in Gruppe # enthalten eine Vorhersage.</t>
  </si>
  <si>
    <t>Die Knockout-Phase</t>
  </si>
  <si>
    <t>Sagen Sie für jede Endrunde die Länder und die Ergebnisse voraus und tragen Sie sie in dieses Blatt ein.</t>
  </si>
  <si>
    <t>Sagen Sie für jede Endrunde die Länder und das Team voraus, das das Spiel oder ein Unentschieden gewinnt, und tragen Sie dies auf diesem Blatt ein.</t>
  </si>
  <si>
    <t>Sagen Sie für jede Endrunde die Länder voraus und tragen Sie sie auf diesem Blatt ein.</t>
  </si>
  <si>
    <t>Es ist nicht erlaubt, ein Land mehrmals in einer Runde vorherzusagen.</t>
  </si>
  <si>
    <t>Um Ihnen auf Ihrem Weg zu helfen, können Sie auf der Grundlage früherer Vorhersagen einen Vorschlag erhalten, sofern diese vollständig ausgeführt wurden. Sie sind nicht verpflichtet, dies weiterzuverfolgen. Die vorhergesagte endgültige Rangliste der Gruppen wird für das Achtelfinale verwendet.</t>
  </si>
  <si>
    <t>Um Ihnen auf Ihrem Weg zu helfen, können Sie auf der Grundlage früherer Vorhersagen einen Vorschlag erhalten, sofern diese vollständig ausgeführt wurden. Sie sind nicht verpflichtet, dies weiterzuverfolgen.</t>
  </si>
  <si>
    <t>Über den untenstehenden Link finden Sie die Kriterien zur Ermittlung der 4 besten Nummern 3 in der Gruppenphase.</t>
  </si>
  <si>
    <t>Hier finden Sie auch eine Tabelle, um zu bestimmen, welches Team in welchem ​​1/8-Finale spielt.</t>
  </si>
  <si>
    <t>Nr.1 Gruppe</t>
  </si>
  <si>
    <t>Nr. 2 Gruppe</t>
  </si>
  <si>
    <t>Nr.3 Gruppe</t>
  </si>
  <si>
    <t>Gewinner-Spiel</t>
  </si>
  <si>
    <t>Verlierer-Spiel</t>
  </si>
  <si>
    <t>Um Ihnen auf Ihrem Weg zu helfen, können Sie auf der Grundlage früherer Vorhersagen einen Vorschlag erhalten, sofern diese vollständig ausgeführt wurden.</t>
  </si>
  <si>
    <t>Die offenen Fragen</t>
  </si>
  <si>
    <t>Für jede gut beantwortete offene Frage erhalten Sie ## Punkt.</t>
  </si>
  <si>
    <t>Für jede gut beantwortete offene Frage erhalten Sie ## Punkte.</t>
  </si>
  <si>
    <t>Sagen Sie den Torschützenkönig des Turniers voraus</t>
  </si>
  <si>
    <t>Sagen Sie einen Spieler voraus, der ein Eigentor schießt</t>
  </si>
  <si>
    <t>Sagen Sie einen Spieler voraus, der eine Rote Karte erhält</t>
  </si>
  <si>
    <t>Sagen Sie den Torschützenkönig der Nationalmannschaft voraus</t>
  </si>
  <si>
    <t>Sagen Sie den Torschützenkönig der</t>
  </si>
  <si>
    <t>Sagen Sie die Mannschaft voraus, die die meisten Tore erzielt.</t>
  </si>
  <si>
    <t>Sagen Sie das Land mit den meisten roten und gelben Karten voraus</t>
  </si>
  <si>
    <t>Je nach Regel können die in der Verlängerung erzielten Tore in die Zählung einfließen oder nicht.</t>
  </si>
  <si>
    <t>Es werden nur die Tore gezählt, die während der regulären Spielzeit einschließlich der Verletzungszeit erzielt wurden.</t>
  </si>
  <si>
    <t>Es werden nur die Tore gezählt, die während der regulären Spielzeit, der Nachspielzeit und einer möglichen Verlängerung erzielt wurden.</t>
  </si>
  <si>
    <t>Eine rote Karte wird als zwei gelbe Karten gezählt. Bei indirekter roter Karte werden die gelben Karten nicht gezählt</t>
  </si>
  <si>
    <t>Die Schätzungsfragen</t>
  </si>
  <si>
    <t>Für jede richtig beantwortete Schätzfrage erhalten Sie ## Punkt.</t>
  </si>
  <si>
    <t>Für jede richtig beantwortete Schätzfrage erhalten Sie ## Punkte.</t>
  </si>
  <si>
    <t>Für jeden Punkt, bei dem die Vorhersage vom Ergebnis abweicht, gilt der $$ -Punktabzug für maximal ## Punkte pro Schätzfrage. Standardmäßig erhalten Personen ## Punkte für jede Schätzungsfrage.</t>
  </si>
  <si>
    <t>Für jeden Punkt, bei dem die Vorhersage vom Ergebnis abweicht, gilt der Abzug von $$ Punkten für maximal ## Punkte pro Schätzfrage. Standardmäßig erhalten sie ##Punkte für jede Schätzfrage.</t>
  </si>
  <si>
    <t>Für jede Schätzungsfrage wird die Vorhersage, die dem Ergebnis am nächsten kommt, mit ## Punkt belohnt.</t>
  </si>
  <si>
    <t>Für jede Schätzfrage wird die Vorhersage, die dem Ergebnis am nächsten kommt, mit ## Punkten belohnt.</t>
  </si>
  <si>
    <t>Für jede Schätzungsfrage werden die $$-Prognosen, die dem Ergebnis am nächsten sind, mit ## Punkt belohnt.</t>
  </si>
  <si>
    <t>Für jede Schätzungsfrage werden die $$-Prognosen, die dem Ergebnis am nächsten sind, mit ## Punkten belohnt.</t>
  </si>
  <si>
    <t>Gesamtzahl der während des gesamten Turniers erzielten Tore</t>
  </si>
  <si>
    <t>Gesamtzahl der während des gesamten Turniers vergebenen gelben Karten</t>
  </si>
  <si>
    <t>Gesamtzahl der während des gesamten Turniers ausgegebenen roten Karten</t>
  </si>
  <si>
    <t>Anzahl der Spiele, die für beide Mannschaften unentschieden enden</t>
  </si>
  <si>
    <t>Anzahl der Spiele, die mit einem Sieg für eines der Teams enden</t>
  </si>
  <si>
    <t>Zwei gelbe Karten für einen Spieler in einem Spiel werden als eine rote Karte gewertet.</t>
  </si>
  <si>
    <t>Die Punktzahl nach der regulären Spielzeit einschließlich der Verletzungszeit ist normativ.</t>
  </si>
  <si>
    <t>der Spielstand nach regulärer Spielzeit, Nachspielzeit und möglicher Verlängerung ist normativ.</t>
  </si>
  <si>
    <t>HINWEIS</t>
  </si>
  <si>
    <t>Behauptungen</t>
  </si>
  <si>
    <t>Für jede richtige Antwort erhalten Sie ## Punkt.</t>
  </si>
  <si>
    <t>Für jede richtige Antwort erhalten Sie ## Punkte.</t>
  </si>
  <si>
    <t>Der Sieger des Turniers weiß alle seine letzten Spiele, 4 Spiele, innerhalb der regulären Spielzeit (einschließlich Nachspielzeit) zu gewinnen.</t>
  </si>
  <si>
    <t>Der Sieger des Turniers hat im Vergleich zu den anderen Teams eine überlegene Tordifferenz. Bei gleicher Tordifferenz sind die erzielten Tore maßgebend.</t>
  </si>
  <si>
    <t>Der Sieger des Turniers stellt auch den Torschützenkönig des Turniers oder einen der Torschützenkönige.</t>
  </si>
  <si>
    <t>Während des Turniers schafft es ein Spieler, in einem Spiel dreimal oder sogar mehr zu treffen. Ein sogenannter Hattrick. Tore während eines Elfmeterschießens zählen nicht.</t>
  </si>
  <si>
    <t>unzureichende Daten für Vorschlag</t>
  </si>
  <si>
    <t>kein Vorschlag möglich</t>
  </si>
  <si>
    <t>Der Vorschlag basiert nur auf den Gruppenspielen</t>
  </si>
  <si>
    <t>Tor</t>
  </si>
  <si>
    <t>Tore</t>
  </si>
  <si>
    <t>kein Unentschieden vorhergesagt</t>
  </si>
  <si>
    <t>mal Unentschieden vorhergesagt</t>
  </si>
  <si>
    <t>kein Gewinn/Verlust vorhergesagt</t>
  </si>
  <si>
    <t>mal Sieg / Niederlage vorhergesagt</t>
  </si>
  <si>
    <t>Der Teilnahmecode</t>
  </si>
  <si>
    <t>Überprüfen der Eingabefelder des Formulars</t>
  </si>
  <si>
    <t>Name des Teilnehmers</t>
  </si>
  <si>
    <t>Die Generierung des Namenscodes ist mangels Ihres Namens nicht möglich. Geben Sie Ihren Namen oben in ein</t>
  </si>
  <si>
    <t>das Arbeitsblatt "Gruppenspiele".</t>
  </si>
  <si>
    <t>Die Generierung des Namenscodes ist mangels Ihrer E-Mail-Adresse nicht möglich. Geben sie ihre E-Mail Adresse ein</t>
  </si>
  <si>
    <t>Adresse oben auf dem Arbeitsblatt "Gruppenwettbewerbe".</t>
  </si>
  <si>
    <t>Eine Generierung des Namenscodes inklusive E-Mail-Adresse ist aufgrund fehlender Daten nicht möglich. Eingeben</t>
  </si>
  <si>
    <t>Ihren Namen und Ihre E-Mail-Adresse oben auf dem Arbeitsblatt "Gruppenspiele".</t>
  </si>
  <si>
    <t>Beim Generieren des Namenscodes wurde ein Fehler festgestellt. Überprüfen Sie Ihren Namen oben auf dem</t>
  </si>
  <si>
    <t>Arbeitsblatt "Gruppenübereinstimmungen".</t>
  </si>
  <si>
    <t>Beim Generieren des Namenscodes wurde ein Fehler festgestellt. Überprüfen Sie Ihre E-Mail-Adresse oben auf</t>
  </si>
  <si>
    <t>Beim Generieren des Namenscodes mit E-Mail-Adresse wurde ein Fehler festgestellt. Überprüfe deinen Namen</t>
  </si>
  <si>
    <t>und E-Mail-Adresse oben auf dem Arbeitsblatt "Gruppenspiele".</t>
  </si>
  <si>
    <t>Der Namenscode wird fehlerfrei generiert.</t>
  </si>
  <si>
    <t>Der Namenscode inklusive E-Mail-Adresse wird fehlerfrei generiert.</t>
  </si>
  <si>
    <t>Vorhersagen Gruppenspiele</t>
  </si>
  <si>
    <t>Aufgrund fehlender Daten ist es nicht möglich, den Teilnahmecode für die Gruppenspiele zu generieren.</t>
  </si>
  <si>
    <t>Überprüfen Sie, ob alle Felder im Arbeitsblatt "Gruppenübereinstimmungen" ausgefüllt sind.</t>
  </si>
  <si>
    <t>Beim Generieren des Teilnahmecodes für die Gruppenspiele wurde ein Fehler festgestellt. Überprüfe dein</t>
  </si>
  <si>
    <t>Eintrag auf dem Arbeitsblatt "Gruppenspiele".</t>
  </si>
  <si>
    <t>Bei der Generierung des Teilnahmecodes für die Gruppenspiele wurden Fehler gefunden. Überprüfen Sie Ihren Eintrag</t>
  </si>
  <si>
    <t>auf dem Arbeitsblatt "Gruppenspiele".</t>
  </si>
  <si>
    <t>Der Teilnahmecode für die Gruppenspiele wird fehlerfrei generiert.</t>
  </si>
  <si>
    <t>Vorhersagen Endgültige Rangliste Gruppenphase</t>
  </si>
  <si>
    <t>Die Generierung des Teilnahmecodes für die Endrangliste in der Gruppe ist mangels nicht möglich</t>
  </si>
  <si>
    <t>von Dateien. Prüfen Sie, ob auf dem Arbeitsblatt "Final Ranking Group" alle Felder ausgefüllt sind.</t>
  </si>
  <si>
    <t>Bei der Generierung des Teilnahmecodes für die Endrangliste in der Gruppe wurde ein Fehler festgestellt.</t>
  </si>
  <si>
    <t>Überprüfen Sie Ihren Eintrag auf dem Arbeitsblatt "Final Ranking Group".</t>
  </si>
  <si>
    <t>Beim Generieren des Teilnahmecodes für das endgültige Ranking in der Gruppe wurden Fehler festgestellt. Prüfen</t>
  </si>
  <si>
    <t>Ihren Eintrag auf dem Arbeitsblatt "Final Ranking Group".</t>
  </si>
  <si>
    <t>Der Teilnahmecode für die Endrangliste in der Gruppe wird fehlerfrei generiert.</t>
  </si>
  <si>
    <t>Vorhersagen Finale Spiele</t>
  </si>
  <si>
    <t>Die Generierung des Teilnahmecodes für die Finalspiele ist aufgrund fehlender Daten nicht möglich.</t>
  </si>
  <si>
    <t>Überprüfen Sie, ob alle Felder im Arbeitsblatt "Endgültige Übereinstimmungen" ausgefüllt sind.</t>
  </si>
  <si>
    <t>Beim Generieren des Teilnahmecodes für die Finalspiele wurde ein Fehler festgestellt. Überprüfen Sie Ihren Eintrag</t>
  </si>
  <si>
    <t>auf dem Arbeitsblatt "Final Matches".</t>
  </si>
  <si>
    <t>Bei der Generierung des Teilnahmecodes für die Finalspiele wurden Fehler gefunden. Überprüfen Sie Ihre Eingabe auf</t>
  </si>
  <si>
    <t>das Arbeitsblatt "Final Matches".</t>
  </si>
  <si>
    <t>Der Teilnahmecode für die Finalspiele wird fehlerfrei generiert.</t>
  </si>
  <si>
    <t>Eine Generierung des Teilnahmecodes für die Bonusfragen ist aufgrund fehlender Daten nicht möglich.</t>
  </si>
  <si>
    <t>Überprüfen Sie, ob alle Felder im Arbeitsblatt "Bonusfragen" ausgefüllt sind.</t>
  </si>
  <si>
    <t>Beim Generieren des Teilnahmecodes für die Bonusfragen wurde ein Fehler festgestellt. Überprüfe dein</t>
  </si>
  <si>
    <t>Eintrag auf dem Arbeitsblatt "Bonusfragen".</t>
  </si>
  <si>
    <t>Bei der Generierung des Teilnahmecodes für die Bonusfragen wurden Fehler gefunden. Überprüfen Sie Ihren Eintrag</t>
  </si>
  <si>
    <t>auf dem Arbeitsblatt "Bonusfragen".</t>
  </si>
  <si>
    <t>Der Teilnahmecode für die Bonusfragen wird fehlerfrei generiert.</t>
  </si>
  <si>
    <t>Im unteren Feld wird Ihr Teilnahmecode generiert, wenn alle Felder vollständig und richtig ausgefüllt sind.</t>
  </si>
  <si>
    <t>Der Zugangscode kann aufgrund fehlender Daten oder falscher Werte nicht generiert werden. Es handelt sich um das folgende Eingabefeld</t>
  </si>
  <si>
    <t>Der Zugangscode kann aufgrund fehlender Daten oder falscher Werte nicht generiert werden. Es handelt sich um folgende Eingabefelder</t>
  </si>
  <si>
    <t>Der Teilnahmecode kann mangels Regeln nicht generiert werden. Bitten Sie Ihren Organisator, die Regeln zu Ihrem Teilnahmeformular hinzuzufügen.</t>
  </si>
  <si>
    <t>Swedish (under development)</t>
  </si>
  <si>
    <t>Förvaltningsfil</t>
  </si>
  <si>
    <t>Beta version</t>
  </si>
  <si>
    <t>Demo version</t>
  </si>
  <si>
    <t>Preview version</t>
  </si>
  <si>
    <t>Extra förvaltningsmodul för arrangörerna</t>
  </si>
  <si>
    <t>Deltagarformulär</t>
  </si>
  <si>
    <t>Deltagarformulär i Excel</t>
  </si>
  <si>
    <t>Extern ranking</t>
  </si>
  <si>
    <t>Tilläggsmodul för förvaltningsfilen</t>
  </si>
  <si>
    <t>Uppgradering av Excel fil EM Pool till version</t>
  </si>
  <si>
    <t>Hjälpfil till Excel-pool.nl</t>
  </si>
  <si>
    <t>OBS: För valfri användning av förvaltningsfilen, rekommenderas det att aktivera makron.</t>
  </si>
  <si>
    <t>OBS: Den här modulen använder makron. Det rekommenderas att aktivera makron.</t>
  </si>
  <si>
    <t>OBS: Detta formulär innehåller inga regler. Be din arrangör lägga till dessa.</t>
  </si>
  <si>
    <t>OBS: Den här modulen använder makron och är lämplig för maximalt ### deltagare.</t>
  </si>
  <si>
    <t>OBS: Denna externa ranking använder makron och är lämplig för maximalt ### deltagare.</t>
  </si>
  <si>
    <t>OBS! Den här uppdateringen använder makron. Det rekommenderas att aktivera makron.</t>
  </si>
  <si>
    <t>Deltagarna</t>
  </si>
  <si>
    <t>Försättsblad</t>
  </si>
  <si>
    <t>Regler</t>
  </si>
  <si>
    <t>Prispotten</t>
  </si>
  <si>
    <t>Gruppspel</t>
  </si>
  <si>
    <t>Ranking gruppspel</t>
  </si>
  <si>
    <t>Slutspel</t>
  </si>
  <si>
    <t>Bonus frågor</t>
  </si>
  <si>
    <t>Deltagarekod</t>
  </si>
  <si>
    <t>Skärm regler</t>
  </si>
  <si>
    <t>Förvaltningsskärm</t>
  </si>
  <si>
    <t>Resultat</t>
  </si>
  <si>
    <t>Öppna frågor</t>
  </si>
  <si>
    <t>Poäng gruppspel matcher</t>
  </si>
  <si>
    <t>Poäng ranking gruppspel</t>
  </si>
  <si>
    <t>Poäng slutspel matcher</t>
  </si>
  <si>
    <t>Poäng bonus frågor</t>
  </si>
  <si>
    <t>Förutsägelser</t>
  </si>
  <si>
    <t>Anteckningsblock</t>
  </si>
  <si>
    <t>Grupp A</t>
  </si>
  <si>
    <t>Grupp B</t>
  </si>
  <si>
    <t>Danmark</t>
  </si>
  <si>
    <t>Grupp C</t>
  </si>
  <si>
    <t>Nederländerna</t>
  </si>
  <si>
    <t>Grupp D</t>
  </si>
  <si>
    <t>Grupp E</t>
  </si>
  <si>
    <t>Grupp F</t>
  </si>
  <si>
    <t>Frankrike</t>
  </si>
  <si>
    <t>Tyskland</t>
  </si>
  <si>
    <t>Grupp G</t>
  </si>
  <si>
    <t>Almänna bestämmelserna</t>
  </si>
  <si>
    <t>(sida #)</t>
  </si>
  <si>
    <t>Reglerna</t>
  </si>
  <si>
    <t>Deltagarkoden och / eller deltagandeformuläret skickas före ### till $$$ (&amp;&amp;&amp;).</t>
  </si>
  <si>
    <t>Deltagarkoden och / eller deltagandeformuläret skickas till &amp;&amp;&amp; före ###.</t>
  </si>
  <si>
    <t>Betalningen inlägg görs innan sista inlämningsdagen</t>
  </si>
  <si>
    <t>Om betalningen inte görs i tid förklaras deltagandet ogiltigt</t>
  </si>
  <si>
    <t>Efter inledningen av öppningsceremonin är det inte längre möjligt att justera dina förutsägelser</t>
  </si>
  <si>
    <t>Innan första 1/8 finalen börjar är det möjligt att justera dina förutsägelser för slutspelt en gång.</t>
  </si>
  <si>
    <t>Med denna tips är deltagandet gratis och inget inlägg krävs för att spela med.</t>
  </si>
  <si>
    <t>Trots prispotten är deltagandet i denna tips gratis</t>
  </si>
  <si>
    <t>Denna tips har en obligatorisk inlägg på SEK ### för att delta</t>
  </si>
  <si>
    <t>Denna tips har en valfri deposition på SEK ### för deltagandet</t>
  </si>
  <si>
    <t>(se kalkylbladet 'Prijzenpot' för mer info).</t>
  </si>
  <si>
    <t>(se nästa sida för mer info).</t>
  </si>
  <si>
    <t>Som deltagare är det tillåtet att skicka in flera deltagarblanketter.</t>
  </si>
  <si>
    <t>Som deltagare är det inte tillåtet att skicka in flera deltagarblanketter.</t>
  </si>
  <si>
    <t>Det är inte möjligt att förutspå resultatet där ett land gör mer än 9 mål. Om ett land gör fler än 9 mål under en match noteras 9 mål som resultat.</t>
  </si>
  <si>
    <t>För att förutspå "1X2", ange en 1 om man tror att hemmalaget vinner, en 2 om det tros att bortalaget vinner och om oavgjort förväntas, ange en 3.</t>
  </si>
  <si>
    <t>Under slutspelet gäller det resultatet efter slutet av den ordinarie speltiden inklusive extra tid.</t>
  </si>
  <si>
    <t>Oavgjort i slutspel matcherna är därför också möjligt.</t>
  </si>
  <si>
    <t>I fall tipsets almänna bestämmelserna inte skulle vara tillräckliga, bestämmer tävlingsledningen.</t>
  </si>
  <si>
    <t>Genom att skicka in anmälningsformuläret godkänner du tipsets regler.</t>
  </si>
  <si>
    <t>Januari</t>
  </si>
  <si>
    <t>Februari</t>
  </si>
  <si>
    <t>Mars</t>
  </si>
  <si>
    <t>Maj</t>
  </si>
  <si>
    <t>Augusti</t>
  </si>
  <si>
    <t>Poängsättningen</t>
  </si>
  <si>
    <t>Poäng</t>
  </si>
  <si>
    <t>Förutspå länderna i slutspelet</t>
  </si>
  <si>
    <t>länderna behöver inte stå i rätt position</t>
  </si>
  <si>
    <t>länderna måste stå i rätt position</t>
  </si>
  <si>
    <t>för varje väl förutspått land i finalen</t>
  </si>
  <si>
    <t>för varje väl förutspått land i tröstfinalen</t>
  </si>
  <si>
    <t>för varje väl förutspått land i semifinalen</t>
  </si>
  <si>
    <t>för varje väl förutspått land i kvartfinalen</t>
  </si>
  <si>
    <t>för varje väl förutspått land i åttonde finalen</t>
  </si>
  <si>
    <t>Landet har inte förutspåtts i rätt position men landet har uppnått slutspelet.</t>
  </si>
  <si>
    <t>I så fall får du fortfarande hälften av poängen för att ha förutspått korrekt land.</t>
  </si>
  <si>
    <t>I så fall kommer du fortfarande att få hela antalet poäng för att ha förutspått korrekt land.</t>
  </si>
  <si>
    <t>Det är inte tillåtet att förutspå ett land flera gånger i slutspelet.</t>
  </si>
  <si>
    <t>Det är tillåtet att förutspå ett land flera gånger i slutspelet.</t>
  </si>
  <si>
    <t>Poäng för att ha förutspått korrekt land i slutspelet räknas inte förrän</t>
  </si>
  <si>
    <t>resultatet av matchen i fråga är känd.</t>
  </si>
  <si>
    <t>resultatet av matchen i fråga är känd eller om det förutspådde landet slutförde matchen.</t>
  </si>
  <si>
    <t>Förutspå rankningen i gruppen</t>
  </si>
  <si>
    <t>för varje rätt förutspått land i gruppens slutrankning.</t>
  </si>
  <si>
    <t>Varje land får endast väljas en gång när man förutspår den slutliga rankningen i gruppen.</t>
  </si>
  <si>
    <t>Poängen för varje korrekt förutsägelse beräknas inte förrän sista matchen i gruppen har spelats.</t>
  </si>
  <si>
    <t>Förutspå "1X2"</t>
  </si>
  <si>
    <t>för ett korrekt förutsägelse av "1X2" (vinst / förlust eller oavgjort).</t>
  </si>
  <si>
    <t>I slutspelet är det inte nödvändigt att ha förutspått rätt länder för att kunna kräva</t>
  </si>
  <si>
    <t>I slutspelet krävs att ett eller både länder har förutspåtts rätt för att kunna kräva</t>
  </si>
  <si>
    <t>I finalen måste båda länder ha förutspåtts rätt för att kunna kräva</t>
  </si>
  <si>
    <t>poäng för att ha förutspått korrekt "1X2".</t>
  </si>
  <si>
    <t>Förutspå resultatet</t>
  </si>
  <si>
    <t>för att korrekt antal mål per spelande lag har förutspåtts.</t>
  </si>
  <si>
    <t>för att korrekt antal mål per spelande lag har förutspåtts, förutsagt att du fyllde i rätt</t>
  </si>
  <si>
    <t>"1X2"</t>
  </si>
  <si>
    <t>avdrag för varje mål som förutsägelsen avviker från resultatet.</t>
  </si>
  <si>
    <t>avdrag för varje mål som förutsägelsen avviker från resultatet (från det korrekt förutspådde landet).</t>
  </si>
  <si>
    <t>Som standard får du ### $$$ för varje land under gruppmatcher, förutsatt att "1X2" är korrekt.</t>
  </si>
  <si>
    <t>Som standard får du ### $$$ för varje land under gruppmatcher.</t>
  </si>
  <si>
    <t>Som standard får du ### $$$ per gruppmatch, förutsatt att "1X2" är korrekt.</t>
  </si>
  <si>
    <t>Som standard får du ### $$$ per gruppmatch.</t>
  </si>
  <si>
    <t>Som standard får du ### $$$ per match i slutspelet, förutsatt att "1X2" är korrekt.</t>
  </si>
  <si>
    <t>Som standard får du ### $$$ per match i slutspelet.</t>
  </si>
  <si>
    <t>Som standard får du ### $$$ per match i slutspelet om ett eller båda länderna och "1X2" är korrekta.</t>
  </si>
  <si>
    <t>Som standard får du ### $$$ per match i slutspelt om ett eller båda länderna förutspåtts korrekt.</t>
  </si>
  <si>
    <t>Som standard får du ### $$$ per korrekt förutspått land i slutspelet, förutsatt att "1X2" är korrekt.</t>
  </si>
  <si>
    <t>Som standard får du ### $$$ per korrekt förutspått land i slutspelet.</t>
  </si>
  <si>
    <t>Som standard får du ### $$$ per match i slutspelet förutsatt att båda länderna och "1X2" förutspåddes korrekt.</t>
  </si>
  <si>
    <t>Som standard får du ### $$$ per match i slutspelet om båda länderna förutspåddes korrekt.</t>
  </si>
  <si>
    <t>Poängavdraget kommer aldrig att överstiga de ordinarie poängen.</t>
  </si>
  <si>
    <t>Avdraget för poäng per land kommer aldrig att överstiga ordinarie poängen per land.</t>
  </si>
  <si>
    <t>Bonuspoäng</t>
  </si>
  <si>
    <t>Bonus $$$ för varje finalmatch där båda länderna förutspåddes i rätt position.</t>
  </si>
  <si>
    <t>Bonus $$$ för varje finalmatch där både "1X2" och båda länderna förutspåddes korrekt.</t>
  </si>
  <si>
    <t>(I slutspelet skall båda länderna ha förutspåtts korrekt).</t>
  </si>
  <si>
    <t>Bonusfrågorna</t>
  </si>
  <si>
    <t>Se kalkylbladet med bonusfrågorna för information om hur poängräkning fungerar vid korrekt svar på bonusfrågorna.</t>
  </si>
  <si>
    <t>Se sidan med bonusfrågorna för information om hur poängräkning fungerar vid korrekt svar på bonusfrågorna.</t>
  </si>
  <si>
    <t>Vid avvikelser (motstridighet) på grund av felaktig översättning är de nederländska reglerna avgörande.</t>
  </si>
  <si>
    <t xml:space="preserve">För att delta i denna pool är du skyldig att betala ditt inlägg som vi har kommit överens om. </t>
  </si>
  <si>
    <t>Inlägg för den här fotbollstipsen är ###.</t>
  </si>
  <si>
    <t>Inlägg för att delta i denna fotbollstips är ###. Du kan också välja att delta utan inlägg</t>
  </si>
  <si>
    <t>till denna fotbollstips. Du kommer därför inte att kunna göra anspråk på prispotten i slutet av turneringen¹.</t>
  </si>
  <si>
    <t>Deltagande i denna fotbollstips är gratis. Det finns därför ingen inlägg för att göra anspråk på prispotten</t>
  </si>
  <si>
    <t>nödvändig.</t>
  </si>
  <si>
    <t>Inlägget måste betalas till arrangören innan turneringen börjar.</t>
  </si>
  <si>
    <t>Om detta inte görs i tid förklaras ditt deltagande ogiltigt.</t>
  </si>
  <si>
    <t>Varje inlägg måste betalas till arrangören innan turneringen börjar.</t>
  </si>
  <si>
    <t>Om detta inte görs i tid kommer du inte att delta i prispotten.</t>
  </si>
  <si>
    <t>Inlägget måste betalas med en kontant betalning.</t>
  </si>
  <si>
    <t>Inlägget måste överföras via banköverföring.</t>
  </si>
  <si>
    <t>Inlägget måste betalas kontant eller via banköverföring.</t>
  </si>
  <si>
    <t>Inlägget måste betalas via en betalningsförfrågan som arrangören skickar dig.</t>
  </si>
  <si>
    <t>Inlägget måste betalas kontant eller via en betalningsförfrågan som arrangören skickar dig.</t>
  </si>
  <si>
    <t>kontonummer</t>
  </si>
  <si>
    <t>kontohavarens namn</t>
  </si>
  <si>
    <t>betalningsreferens</t>
  </si>
  <si>
    <t>### av inlägget kommer att användas för välgörenhet ($$$).</t>
  </si>
  <si>
    <t>### går från inlägget till prispotten. Resten kommer att gynna poolens organisation.</t>
  </si>
  <si>
    <t>För varje deltagare kommer organisationen av poolen att lägga till ### extra i prispotten.</t>
  </si>
  <si>
    <t>Om flera deltagare hamnar i samma position och har rätt till prispengar kommer den totala summan</t>
  </si>
  <si>
    <t>att delas mellan dessa deltagare.</t>
  </si>
  <si>
    <t>Prispengarna fördelas enligt följande:</t>
  </si>
  <si>
    <t>av prispotten</t>
  </si>
  <si>
    <t>Det finns också olika tröstpriser tillgängliga för dem som nästan skulle ha fått en pris.</t>
  </si>
  <si>
    <t>Det finns också ett tröstpris tillgängligt för nr. ### som en tröst för att precis missade priset.</t>
  </si>
  <si>
    <t>Det finns också tröstpriser tillgängliga för ### och $$$ för att precis missade priset.</t>
  </si>
  <si>
    <t>Det finns också tröstpriser tillgängliga för nr ### till $$$ för att precis missade priset.</t>
  </si>
  <si>
    <t>Dessutom finns olika pudelpriser tillgängliga för dem som hamnat längst ner.</t>
  </si>
  <si>
    <t>Dessutom kommer den lägsta listade deltagaren att få ett pudelpris.</t>
  </si>
  <si>
    <t>Dessutom får de ### lägsta listade deltagarna var och en ett pudelpris.</t>
  </si>
  <si>
    <t>deltagare i rankingen.</t>
  </si>
  <si>
    <t>Excel-deltagarformulär</t>
  </si>
  <si>
    <t>Gruppmatcher</t>
  </si>
  <si>
    <t>Gruppens slutranking</t>
  </si>
  <si>
    <t>Bonusfrågor</t>
  </si>
  <si>
    <t>Namn</t>
  </si>
  <si>
    <t>E-post</t>
  </si>
  <si>
    <t>(högst ## tecken)</t>
  </si>
  <si>
    <t>e-postadress krävs inte</t>
  </si>
  <si>
    <t>Tid</t>
  </si>
  <si>
    <t>Slutrankning</t>
  </si>
  <si>
    <t>Alla tider är Centraleuropeisk tid (UCT + 1)</t>
  </si>
  <si>
    <t>Grupp</t>
  </si>
  <si>
    <t>Åttonde finalen</t>
  </si>
  <si>
    <t>Kvartsfinal</t>
  </si>
  <si>
    <t>Semifinaler</t>
  </si>
  <si>
    <t>Tröstfinal</t>
  </si>
  <si>
    <t>1 seger för hemmalaget, 2 seger för bortalaget, 3 oavgjort</t>
  </si>
  <si>
    <t>visa alltid förslag</t>
  </si>
  <si>
    <t>dölj förslag efter val</t>
  </si>
  <si>
    <t>visa inte förslag</t>
  </si>
  <si>
    <t>Hjälp vid ifyllning av formuläret</t>
  </si>
  <si>
    <t>Bakgrundsfärgen på fälten som ska fyllas i anger fältets status. Denna status motsvarar tabellen till höger.</t>
  </si>
  <si>
    <t>Rätt ifylld</t>
  </si>
  <si>
    <t>Ej ifylld</t>
  </si>
  <si>
    <t>Ej korrekt ifylld</t>
  </si>
  <si>
    <t>Förutspå resultatet av gruppmatcherna och fyll i dem på det här arket.</t>
  </si>
  <si>
    <t>Förutspå vilket lag som vinner matchen eller oavgjort och fyll i det på det här arket.</t>
  </si>
  <si>
    <t>Förutspå slutrankningen för de olika grupperna och skriv in det på det här arket.</t>
  </si>
  <si>
    <t>Varje land får bara skrivas in en gång när man förutspår den slutliga rankningen i gruppen.</t>
  </si>
  <si>
    <t>Gruppindelning</t>
  </si>
  <si>
    <t>För att hjälpa dig på vägen kan ett förslag ges baserat på tidigare förutsägelser, om de är fullständiga. Du är inte skyldig att följa detta förslag.</t>
  </si>
  <si>
    <t>Gruppens slutrankning baserat på tidigare förutsägelser</t>
  </si>
  <si>
    <t>Mål för</t>
  </si>
  <si>
    <t>Mål mot</t>
  </si>
  <si>
    <t>OBS: inte alla matcher i grupp # är iflyllda.</t>
  </si>
  <si>
    <t>Förutspår länderna och slutspelmatchernas resultaten och fyll i dem på det här arket.</t>
  </si>
  <si>
    <t>Förutspår länderna och det laget som vinner matchen eller oavgjort och fyll i det på det här arket.</t>
  </si>
  <si>
    <t>Förutspår länderna i slutspelet och fyll i dem på det här arket.</t>
  </si>
  <si>
    <t>Det är inte tillåtet att fylla i ett land mer än en gång i samma spelomgång.</t>
  </si>
  <si>
    <t>För att hjälpa dig på vägen kan ett förslag ges baserat på tidigare förutsägelser, om de är fullständiga. Du är inte skyldig att följa detta förslag. Den förutspådda slutrankningen för grupperna används för åttonde finalen.</t>
  </si>
  <si>
    <t>Via länken nedan hittar du kriterierna för att bestämma de fyra bästa 3:orna i gruppspelet.</t>
  </si>
  <si>
    <t>Här hittar du också fördelningnyckeln för att bestämma vilket lag som spelar i vilken åttonde finalen.</t>
  </si>
  <si>
    <t>Nr. 1 Grupp</t>
  </si>
  <si>
    <t>Nr. 2 Grupp</t>
  </si>
  <si>
    <t>Nr. 3 Grupp</t>
  </si>
  <si>
    <t>Vinnare match</t>
  </si>
  <si>
    <t>Förlorare match</t>
  </si>
  <si>
    <t>För att hjälpa dig på vägen kan ett förslag ges baserat på tidigare förutsägelser, om de är fullständiga.</t>
  </si>
  <si>
    <t>De öppna frågorna</t>
  </si>
  <si>
    <t>Du får ## poäng för rätt svar på varje öppen fråga.</t>
  </si>
  <si>
    <t>Förutspår turneringens skyttekungen</t>
  </si>
  <si>
    <t>Förutspår en spelare som gör ett självmål</t>
  </si>
  <si>
    <t>Förutspår en spelare som får ett rött kort</t>
  </si>
  <si>
    <t>Förutspår landslagets skyttekungen</t>
  </si>
  <si>
    <t>Förutspår skyttekungen för</t>
  </si>
  <si>
    <t>Förutspår laget med flest mål</t>
  </si>
  <si>
    <t>Förutspår laget med flest mål mot</t>
  </si>
  <si>
    <t>Förutspår laget med flest röda och gula kort</t>
  </si>
  <si>
    <t>Beroende på reglerna kan målen som görs under förlängningen räknas eller inte.</t>
  </si>
  <si>
    <t>endast mål som görs under ordinarie tid inklusive tilläggstid räknas.</t>
  </si>
  <si>
    <t>endast de mål som gjordes under ordinarie tid, tilläggstid och eventuell extra tid räknas.</t>
  </si>
  <si>
    <t>ett rött kort räknas som två gula kort, med indirekt rött räknas inte de gula korten.</t>
  </si>
  <si>
    <t>Uppskattningsfrågor</t>
  </si>
  <si>
    <t>Du får ##-poäng för varje korrekt svarad fråga.</t>
  </si>
  <si>
    <t>För varje punkt som förutsägelsen avviker från utfallet ## poängavdrag upp till maximalt $$ poäng per approximationsfråga. Som standard får du $$ poäng för varje inflygningsfråga.</t>
  </si>
  <si>
    <t>För varje punkt som förutsägelsen avviker från resultatet ## poängavdrag upp till maximalt $$ poäng per approximationsfråga. Som standard får du $$ poäng för varje tillvägagångssättsfråga.</t>
  </si>
  <si>
    <t>För varje uppskattningsfråga belönas förutsägelsen närmast resultatet med $$ poäng.</t>
  </si>
  <si>
    <t>För varje approximationsfråga tilldelas förutsägelsen närmast resultatet $$ poäng.</t>
  </si>
  <si>
    <t>För varje tillvägagångsfråga belönas ## förutsägelserna närmast resultatet med $$ poäng.</t>
  </si>
  <si>
    <t>För varje tillvägagångssätt belönas ## förutsägelser närmast resultatet med $$ poäng.</t>
  </si>
  <si>
    <t>Totalt antal mål under hela turneringen</t>
  </si>
  <si>
    <t>Totalt antal gula kort som ges under hela turneringen</t>
  </si>
  <si>
    <t>Totalt antal röda kort som ges under hela turneringen</t>
  </si>
  <si>
    <t>Antal matcher som slutar oavgjort för båda lagen</t>
  </si>
  <si>
    <t>Antal spel som slutar med en seger för ett av lagen</t>
  </si>
  <si>
    <t>två gula kort till en spelare i en match räknas som ett rött kort.</t>
  </si>
  <si>
    <t>poängen efter ordinarie speltid inklusive tilläggstid räknas.</t>
  </si>
  <si>
    <t>poängen efter ordinarie tid, tilläggstid och eventuell extra tid räknas.</t>
  </si>
  <si>
    <t>TIPS/RÅD</t>
  </si>
  <si>
    <t>Ställningar</t>
  </si>
  <si>
    <t>Du får en ## poäng för varje korrekt uttalande.</t>
  </si>
  <si>
    <t>Du får ## poäng för varje korrekt uttalande.</t>
  </si>
  <si>
    <t>Ens</t>
  </si>
  <si>
    <t>Oense</t>
  </si>
  <si>
    <t>Vinnaren av turneringen lyckas vinna alla sina finaler, 4 matcher, inom ordinarie speltid (inklusive tilläggstid).</t>
  </si>
  <si>
    <t>Vinnaren av turneringen har en bättre målskillnad än de andra lagen. Vid oavgjort är målen avgörande.</t>
  </si>
  <si>
    <t>Vinnaren av turneringen tillhandahåller också turneringens skyttekungen eller en av skyttekungarna.</t>
  </si>
  <si>
    <t>Under turneringen lyckas en spelare göra mål tre gånger eller ännu mer i en match. Ett så kallat hattrick. Straffläggning räknas inte.</t>
  </si>
  <si>
    <t>otillräcklig data för förslag</t>
  </si>
  <si>
    <t>inget förslag möjligt</t>
  </si>
  <si>
    <t>förslaget baseras endast på gruppmatcher</t>
  </si>
  <si>
    <t>mål</t>
  </si>
  <si>
    <t>inte en enda oavgjort match förutspått</t>
  </si>
  <si>
    <t>gånger förutspådde oavgjorda matcher</t>
  </si>
  <si>
    <t>inga förutspådde vinst / förlust</t>
  </si>
  <si>
    <t>gånger förutspådde vinst / förlust</t>
  </si>
  <si>
    <t>Deltagarkoden</t>
  </si>
  <si>
    <t>Kontroll formulärets indata</t>
  </si>
  <si>
    <t>Uppgifter deltagare</t>
  </si>
  <si>
    <t>Genereringen av namnskoden är inte möjlig då ditt namn saknas. Ange ditt namn</t>
  </si>
  <si>
    <t>högst upp i arbetsbladet "Gruppmatchar".</t>
  </si>
  <si>
    <t>Det är inte möjligt att generera namnskoden på grund att ditt e-postadress saknas. Ange ditt</t>
  </si>
  <si>
    <t>e-postadress högst upp i arbetsbladet "Gruppmatchar".</t>
  </si>
  <si>
    <t>Att generera namnskoden inklusive e-postadress är inte möjlig på grund av att data</t>
  </si>
  <si>
    <t>saknas. Ange ditt namn och din e-postadress högst upp i arbetsbladet "Gruppmatchar".</t>
  </si>
  <si>
    <t>Ett fel upptäcktes när namnskoden genererades. Kontrollera ditt namn högst upp</t>
  </si>
  <si>
    <t>i arbetsbladet "Gruppmatchar".</t>
  </si>
  <si>
    <t>Ett fel upptäcktes när namnskoden genererades. Kontrollera din e-postadress högst upp</t>
  </si>
  <si>
    <t>Ett fel upptäcktes när namnskoden med e-postadressen genererades. Kontrollera ditt namn och</t>
  </si>
  <si>
    <t>Namnskoden genererades utan fel.</t>
  </si>
  <si>
    <t>Namnskoden inklusive e-postadress har genererats utan fel.</t>
  </si>
  <si>
    <t>Förutsägelser Gruppmatcher</t>
  </si>
  <si>
    <t>Det är inte möjligt att generera deltagarkoden för gruppmatcherna på grund av att data</t>
  </si>
  <si>
    <t>saknas. Se till att alla fält är ifyllda i arbetsbladet "Gruppmatchar".</t>
  </si>
  <si>
    <t>Ett fel upptäcktes när deltagarkoden genererades för gruppmatchningar. Se över</t>
  </si>
  <si>
    <t>din indata i arbetsbladet "Gruppmatchar".</t>
  </si>
  <si>
    <t>Fel upptäcktes när deltagarkoden genererades för gruppmatchar. Se över</t>
  </si>
  <si>
    <t>din data i arbetsbladet "Gruppmatchar".</t>
  </si>
  <si>
    <t>Deltagarkoden för gruppmatcherna har genererats utan fel.</t>
  </si>
  <si>
    <t>Förutsägelser slutranking gruppspel</t>
  </si>
  <si>
    <t xml:space="preserve">Det är inte möjligt att generera deltagarkoden för gruppens slutranking eftersom </t>
  </si>
  <si>
    <t>data saknas. Kontrollera om alla fält har fyllts i i arbetsbladet "Slutranking grupp".</t>
  </si>
  <si>
    <t>Ett fel upptäcktes när deltagarkoden genererades för slutrankningen i gruppen.</t>
  </si>
  <si>
    <t>Kontrollera din indata i arbetsbladet "Slutranking grupp".</t>
  </si>
  <si>
    <t>Fel hittades vid generering av deltagarkoden för slutrankningen i gruppen.</t>
  </si>
  <si>
    <t>Kontrollera din  indata i arbetsbladet "Slutranking grupp".</t>
  </si>
  <si>
    <t>Deltagarkoden för gruppens slutranking har genererats utan fel.</t>
  </si>
  <si>
    <t>Förutsägelser slutspelet</t>
  </si>
  <si>
    <t>Det är inte möjligt att generera deltagarkoden för slutspelets matcherna på grund av att data</t>
  </si>
  <si>
    <t>saknas. Kontrollera att alla fält är ifyllda i arbetsbladet "Slutspel".</t>
  </si>
  <si>
    <t>Ett fel upptäcktes när deltagarkoden genererades för slutspelets matcherna. Kontrollera din</t>
  </si>
  <si>
    <t>indata i arbetsbladet "Slutspel".</t>
  </si>
  <si>
    <t>Fel upptäcktes under genereringen av deltagarkoden för slutspelets matcherna. Kontrollera din</t>
  </si>
  <si>
    <t>Deltagarkoden för slutspelets matcherna har genererats utan fel.</t>
  </si>
  <si>
    <t>indata i arbetsbladet "Final matcher".</t>
  </si>
  <si>
    <t>Att generera deltagarkoden för bonusfrågorna är inte möjlig på grund av att data</t>
  </si>
  <si>
    <t>saknas. Kontrollera att alla fält är ifyllda i arbetsbladet "Bonusfrågor".</t>
  </si>
  <si>
    <t>Ett fel upptäcktes när deltagarkoden genererades för bonusfrågorna. Kontrollera</t>
  </si>
  <si>
    <t>indata i arbetsbladet "Bonusfrågor".</t>
  </si>
  <si>
    <t>Fel upptäcktes under genereringen av deltagarkoden för bonusfrågorna. Kontrollera din</t>
  </si>
  <si>
    <t>Deltagarkoden för bonusfrågorna har genererats utan fel.</t>
  </si>
  <si>
    <t>I fältet nedan genereras din deltagarkod när alla fält har fyllts i helt och korrekt.</t>
  </si>
  <si>
    <t>Deltagarkoden kan inte genereras på grund av att data saknas eller är felaktig. Detta gäller för följande del</t>
  </si>
  <si>
    <t>Deltagarkoden kan inte genereras på grund av data saknas eller är felaktig. Detta gäller följande delar</t>
  </si>
  <si>
    <t>Deltagarkoden kan inte genereras på grund av avsaknaden av reglerna. Be din arrangör lägga till reglerna i ditt deltagandeformulär.</t>
  </si>
  <si>
    <t>Sagen sie die Mannschaft mit die meiste Gegentore voraus</t>
  </si>
  <si>
    <t>Under slutspelet gäller det resultatet efter slutet av extra tid, inklusive tilläggstid.</t>
  </si>
  <si>
    <t>När en icke-betalande deltagare kvalificerar sig till prispotten blir priset flyttade till nästa betalande deltagare i rankingen.</t>
  </si>
  <si>
    <t>Servië</t>
  </si>
  <si>
    <t>Serbia</t>
  </si>
  <si>
    <t>Serbien</t>
  </si>
  <si>
    <t>Nederlands voetbalelftal</t>
  </si>
  <si>
    <t>Engels voetbalelftal</t>
  </si>
  <si>
    <t>Frans voetbalelftal</t>
  </si>
  <si>
    <t>Spaans voetbalelftal</t>
  </si>
  <si>
    <t>Duits voetbalelftal</t>
  </si>
  <si>
    <t>Belgisch voetbalelftal</t>
  </si>
  <si>
    <t>Kroatisch voetbalelftal</t>
  </si>
  <si>
    <t>Servisch voetbalelftal</t>
  </si>
  <si>
    <t>Portugees voetbalelftal</t>
  </si>
  <si>
    <t>Serbische Nationalmannschaft</t>
  </si>
  <si>
    <t>RS</t>
  </si>
  <si>
    <t>Der Turnier</t>
  </si>
  <si>
    <t>Spielen, davon</t>
  </si>
  <si>
    <t>Turneringen består</t>
  </si>
  <si>
    <t>finaler.</t>
  </si>
  <si>
    <t>c</t>
  </si>
  <si>
    <t>d</t>
  </si>
  <si>
    <t>b</t>
  </si>
  <si>
    <t>e</t>
  </si>
  <si>
    <t>g</t>
  </si>
  <si>
    <t>f</t>
  </si>
  <si>
    <t>h</t>
  </si>
  <si>
    <t>──</t>
  </si>
  <si>
    <t>&amp;&amp;</t>
  </si>
  <si>
    <t>??</t>
  </si>
  <si>
    <t>Gedurende het toernooi weet de scheidsrechter in twee of meerdere wedstrijden zijn kaarten op zak te houden.</t>
  </si>
  <si>
    <t>During the tournament, the referee manages to keep his cards in his pocket in two or more matches.</t>
  </si>
  <si>
    <t>Under turneringen lyckas domaren att behålla sina kort i två eller flera matcher.</t>
  </si>
  <si>
    <t>Während des Turniers schafft es der Schiedsrichter, seine Karten in zwei oder mehreren Spielen in der Tasche zu behalten.</t>
  </si>
  <si>
    <t>Tijdens het toernooi weet een speler in één wedstrijd drie keer of meer te scoren, oftewel een hattrick. Benutte penalty's tijdens een strafschoppenserie tellen niet mee.</t>
  </si>
  <si>
    <t>Land 1</t>
  </si>
  <si>
    <t>Land 2</t>
  </si>
  <si>
    <t>Land 3</t>
  </si>
  <si>
    <t>Land 4</t>
  </si>
  <si>
    <t>Land 5</t>
  </si>
  <si>
    <t>Land 6</t>
  </si>
  <si>
    <t>Land 7</t>
  </si>
  <si>
    <t>Land 8</t>
  </si>
  <si>
    <t>alles ingevuld</t>
  </si>
  <si>
    <t>Groepswinnaars</t>
  </si>
  <si>
    <t>doelpunten gescoord tijdens een eventuele verlenging zijn niet meegeteld</t>
  </si>
  <si>
    <t>matches in which the decision is made during extra time are not counted</t>
  </si>
  <si>
    <t>goals scored during any extra time are not counted</t>
  </si>
  <si>
    <t>wedstrijden waarin de beslissing tijdens de verlenging valt zijn niet meegeteld</t>
  </si>
  <si>
    <t>Tore, die während einer Verlängerung erzielt werden, werden nicht gezählt</t>
  </si>
  <si>
    <t>mål gjorda under någon förlängning räknas inte</t>
  </si>
  <si>
    <t>matcher där avgörandet fattas under förlängning räknas inte</t>
  </si>
  <si>
    <t>Spiele, bei denen die Entscheidung in der Verlängerung fällt, werden nicht gewertet</t>
  </si>
  <si>
    <t>Meeste</t>
  </si>
  <si>
    <t>doelpunten in</t>
  </si>
  <si>
    <t>één wedstrijd</t>
  </si>
  <si>
    <t>↓</t>
  </si>
  <si>
    <t>meeste doelpunten 
in één wedstrijd</t>
  </si>
  <si>
    <t>Gedurende het toernooi worden er niet meer dan zes doelpunten gescoord in één wedstrijd (inclusief een eventuele verlenging).</t>
  </si>
  <si>
    <t>During the tournament, no more than six goals will be scored in one match (including any extra time).</t>
  </si>
  <si>
    <t>voor het goed voorspellen van het aantal gescoorde doelpunten per spelend team, mits de TOTO juist</t>
  </si>
  <si>
    <t>is voorspeld.</t>
  </si>
  <si>
    <t>Het voorspellen van de TOTO en de eindstand</t>
  </si>
  <si>
    <t>Predicting the TOTO and the match result</t>
  </si>
  <si>
    <t>Vorhersage des TOTO und des Spielergebnisses</t>
  </si>
  <si>
    <t xml:space="preserve"> Förutspå "1X2" och resultatet</t>
  </si>
  <si>
    <t>predichting the TOTO and/or the match result.</t>
  </si>
  <si>
    <t>Vorhersage des TOTO und/oder des Spielergebnisses.</t>
  </si>
  <si>
    <t>poäng för att ha förutspått korrekt "1X2" och/eller resultatet.</t>
  </si>
  <si>
    <t>Bij het voorspellen van de eindstand krijgt men enkel punten voor het juist voorspelde land tijdens de finales.</t>
  </si>
  <si>
    <t>When predicting the goals, points are only awarded for the correctly predicted country during the finals.</t>
  </si>
  <si>
    <t>Bei der Vorhersage des Endergebnisses werden während des Finales nur Punkte für das richtig vorhergesagte Land vergeben.</t>
  </si>
  <si>
    <t>WAHR</t>
  </si>
  <si>
    <t>FALSCH</t>
  </si>
  <si>
    <t>op de punten voor het juist voorspellen van de TOTO en/of eindstand.</t>
  </si>
  <si>
    <t>Bij de finalewedstrijden is het niet noodzakelijk om de landen juist voorspeld te hebben om aanspraak te maken</t>
  </si>
  <si>
    <t>Bij de finalewedstrijden dient men één of beide landen juist voorspeld te hebben om aanspraak te maken</t>
  </si>
  <si>
    <t>Bij de finalewedstrijden dient men beide landen juist voorspeld te hebben om aanspraak te maken</t>
  </si>
  <si>
    <t>op de punten voor het juist voorspellen van de TOTO.</t>
  </si>
  <si>
    <t>Bonus$$$ voor iedere groepswedstrijd waarbij de uitslag juist is voorspeld.</t>
  </si>
  <si>
    <t>Bonus $$$ for each group match where the result is correctly predicted.</t>
  </si>
  <si>
    <t>Bonus $$$ für jedes Gruppenspiel, bei dem das Ergebnis korrekt vorhergesagt wird.</t>
  </si>
  <si>
    <t>Bonus $$$ för varje gruppmatch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</si>
  <si>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</si>
  <si>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</si>
  <si>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</si>
  <si>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</si>
  <si>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</si>
  <si>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</si>
  <si>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</si>
  <si>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</si>
  <si>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(bij de finalewedstrijden dienen ook één of beide landen juist voorspeld te zijn).</t>
  </si>
  <si>
    <t>(in the knockout phase, one or both countries must also have been correctly predicted).</t>
  </si>
  <si>
    <t>(In der Ko-Phase müssen ein oder beide Länder ebenfalls korrekt vorhergesagt worden sein).</t>
  </si>
  <si>
    <t>(I slutspelet måste ett eller båda länderna ha förutspåtts korrekt).</t>
  </si>
  <si>
    <t>Bonus $$$ for every group match where the goal difference between the two teams is correctly predicted.</t>
  </si>
  <si>
    <t>Bonus $$$ für jedes Gruppenspiel, bei dem die Tordifferenz zwischen den beiden Teams richtig vorhergesagt wird.</t>
  </si>
  <si>
    <t>Bonus $$$ för varje gruppmatch där målskillnaden mellan de två lagen är korrekt förutspådd.</t>
  </si>
  <si>
    <t>Bonus $$$ för varje grupp och finalmatch där målskillnaden mellan de två lagen är korrekt förutspådd.</t>
  </si>
  <si>
    <t>Bonus $$$ för varje grupp och finalmatch där målskillnaden mellan de två lagen är korrekt förutspådd</t>
  </si>
  <si>
    <t>Bonus $$$ für die richtige Vorhersage der Länder in der Endwertung einer Gruppe.</t>
  </si>
  <si>
    <t>Bonus $$$ för att korrekt förutsäga länderna i slutställningen i en grupp.</t>
  </si>
  <si>
    <t>Bonusvraag 1</t>
  </si>
  <si>
    <t>Bonusvraag 2</t>
  </si>
  <si>
    <t>Bonusvraag 3</t>
  </si>
  <si>
    <t>Bonus $$$ für jedes Endspiel, bei dem sowohl der TOTO als auch beide Länder richtig vorhergesagt werden.</t>
  </si>
  <si>
    <t>Bonus $$$ for every group and final match where the goal difference between the two teams is correctly</t>
  </si>
  <si>
    <t>Bonus $$$ für jedes Gruppen- und Endspiel, bei dem die Tordifferenz zwischen den beiden Teams richtig</t>
  </si>
  <si>
    <t>predicted.</t>
  </si>
  <si>
    <t>vorhergesagt wird.</t>
  </si>
  <si>
    <t>A255255255</t>
  </si>
  <si>
    <t>Lagen</t>
  </si>
  <si>
    <t>De Teams</t>
  </si>
  <si>
    <t>The Teams</t>
  </si>
  <si>
    <t>Die Teams</t>
  </si>
  <si>
    <t>Om een extra dimensie aan de pool en het toernooi te geven heeft de organisator de pool de teams functie ingeschakeld. Met deze functie kunt u in groepen/teams voor de eer strijden waarbij iedere speeldag de gemiddelde score per team berekend wordt.</t>
  </si>
  <si>
    <t>Selecteer uit onderstaande lijst één of meerdere teams waar u als deelnemer toe behoort op basis van de omschrijving.</t>
  </si>
  <si>
    <t>Teamscode</t>
  </si>
  <si>
    <t>Controle Code</t>
  </si>
  <si>
    <t>Aantal teams</t>
  </si>
  <si>
    <t>Selectie minimum</t>
  </si>
  <si>
    <t>Selectie maximum</t>
  </si>
  <si>
    <t>Selecteer uit onderstaander lijst minimaal $$$ @@@ waar u als deelnemer toe behoort op basis van de omschrijving.</t>
  </si>
  <si>
    <t>Selecteer uit onderstaander lijst maximaal ### @@@ waar u als deelnemer toe behoort op basis van de omschrijving.</t>
  </si>
  <si>
    <t>Selecteer uit onderstaande lijst minimaal $$$, maximaal ### @@@ waar u als deelnemer toe behoort op basis van de omschrijving.</t>
  </si>
  <si>
    <t>Selecteer uit onderstaande lijst $$$ @@@ waar u als deelnemer toe behoort op basis van de omschrijving.</t>
  </si>
  <si>
    <t>$$$</t>
  </si>
  <si>
    <t>###</t>
  </si>
  <si>
    <t>Selectie regel</t>
  </si>
  <si>
    <t>één</t>
  </si>
  <si>
    <t>twee</t>
  </si>
  <si>
    <t>drie</t>
  </si>
  <si>
    <t>vier</t>
  </si>
  <si>
    <t>vijf</t>
  </si>
  <si>
    <t>zes</t>
  </si>
  <si>
    <t>zeven</t>
  </si>
  <si>
    <t>acht</t>
  </si>
  <si>
    <t>negen</t>
  </si>
  <si>
    <t>tien</t>
  </si>
  <si>
    <t>elf</t>
  </si>
  <si>
    <t>twaalf</t>
  </si>
  <si>
    <t>dertien</t>
  </si>
  <si>
    <t>veertien</t>
  </si>
  <si>
    <t>vijftien</t>
  </si>
  <si>
    <t>zestien</t>
  </si>
  <si>
    <t>zeventien</t>
  </si>
  <si>
    <t>achting</t>
  </si>
  <si>
    <t>negentien</t>
  </si>
  <si>
    <t>twintig</t>
  </si>
  <si>
    <t>team</t>
  </si>
  <si>
    <t>teams</t>
  </si>
  <si>
    <t>Team 01</t>
  </si>
  <si>
    <t>team actief</t>
  </si>
  <si>
    <t>(</t>
  </si>
  <si>
    <t>)</t>
  </si>
  <si>
    <t>bronregel</t>
  </si>
  <si>
    <t>Bronregels</t>
  </si>
  <si>
    <t>omschrijving</t>
  </si>
  <si>
    <t>keuze</t>
  </si>
  <si>
    <t>ja</t>
  </si>
  <si>
    <t>nee</t>
  </si>
  <si>
    <t>Aantal geselecteerde teams</t>
  </si>
  <si>
    <t>Eis minimaal</t>
  </si>
  <si>
    <t>Eis maximaal</t>
  </si>
  <si>
    <t>Bonus$$$ voor iedere groepswedstrijd waarbij het doelpuntenverschil tussen beide teams juist is voorspeld.</t>
  </si>
  <si>
    <t>Bonus$$$ voor iedere groeps- en finalewedstrijd waarbij het doelpuntenverschil tussen beide teams juist is voorspeld.</t>
  </si>
  <si>
    <t>Bonus$$$ voor iedere groeps- en finalewedstrijd waarbij het doelpuntenverschil tussen beide teams juist is voorspeld</t>
  </si>
  <si>
    <t>team selecteren</t>
  </si>
  <si>
    <t>Er zijn onvoldoende teams geselecteerd.</t>
  </si>
  <si>
    <t>Er zijn voldoende teams geselecteerd.</t>
  </si>
  <si>
    <t>Er zijn meer teams geselecteerd dan toegestaan.</t>
  </si>
  <si>
    <t>Voldaan aan eis (1=OK, 2=teweinig, 3=teveel)</t>
  </si>
  <si>
    <t>To give an extra dimension to the pool and the tournament, the organizer has enabled the pool's teams function. With this function you can compete in groups/teams for the honor whereby the average score per team is calculated every match day.</t>
  </si>
  <si>
    <t>Um dem Pool und dem Turnier eine zusätzliche Dimension zu verleihen, hat der Organisator die Teamfunktion des Pools aktiviert. Mit dieser Funktion können Sie in Gruppen/Mannschaften um die Ehre kämpfen, wobei an jedem Spieltag die Durchschnittspunktzahl pro Team berechnet wird.</t>
  </si>
  <si>
    <t>För att ge en extra dimension till poolen och turneringen har arrangören aktiverat poolens lagfunktion. Med denna funktion kan du tävla i grupper/lag om äran varvid medelpoängen per lag beräknas varje matchdag.</t>
  </si>
  <si>
    <t>Select from the list below one or more teams to which you belong as a participant, based on the description.</t>
  </si>
  <si>
    <t>Select at least $$$ @@@ from the list below to which you as a participant belong based on the description.</t>
  </si>
  <si>
    <t>Select a maximum of ### @@@ from the list below to which you belong as a participant, based on the description.</t>
  </si>
  <si>
    <t>Select from the list below a minimum of $$$, a maximum of ### @@@ to which you belong as a participant, based on the description.</t>
  </si>
  <si>
    <t>Select from the list below $$$ @@@ where you belong as a participant based on the description.</t>
  </si>
  <si>
    <t>Wählen Sie aus der Liste unten ein oder mehrere Teams aus, denen Sie als Teilnehmer angehören, basierend auf der Beschreibung.</t>
  </si>
  <si>
    <t>Wählen Sie aus der Liste unten mindestens $$$ @@@ aus, zu der Sie als Teilnehmer anhand der Beschreibung gehören.</t>
  </si>
  <si>
    <t>Wählen Sie aus der unten stehenden Liste maximal ### @@@ aus, zu denen Sie anhand der Beschreibung als Teilnehmer gehören.</t>
  </si>
  <si>
    <t>Wählen Sie aus der Liste unten mindestens $$$, höchstens ### @@@ aus, zu der Sie als Teilnehmer gehören, basierend auf der Beschreibung.</t>
  </si>
  <si>
    <t>Wählen Sie aus der Liste unten $$$ @@@ aus, wohin Sie als Teilnehmer anhand der Beschreibung gehören.</t>
  </si>
  <si>
    <t>Välj från listan nedan ett eller flera lag som du tillhör som deltagare, baserat på beskrivningen.</t>
  </si>
  <si>
    <t>Välj minst $$$ @@@ från listan nedan som du som deltagare tillhör utifrån beskrivningen.</t>
  </si>
  <si>
    <t>Välj max ### @@@ från listan nedan som du tillhör som deltagare, baserat på beskrivningen.</t>
  </si>
  <si>
    <t>Välj från listan nedan ett minimum av $$$, högst ### @@@ som du tillhör som deltagare, baserat på beskrivningen.</t>
  </si>
  <si>
    <t>Välj från listan nedan $$$ @@@ var du som deltagare hör hemma utifrån beskrivningen.</t>
  </si>
  <si>
    <t>select team</t>
  </si>
  <si>
    <t>no</t>
  </si>
  <si>
    <t>Not enough teams have been selected.</t>
  </si>
  <si>
    <t>Sufficient teams have been selected.</t>
  </si>
  <si>
    <t>More teams have been selected than allowed.</t>
  </si>
  <si>
    <t>yes</t>
  </si>
  <si>
    <t>Team auswählen</t>
  </si>
  <si>
    <t>nein</t>
  </si>
  <si>
    <t>Es wurden nicht genügend Teams ausgewählt.</t>
  </si>
  <si>
    <t>Es wurden genügend Teams ausgewählt.</t>
  </si>
  <si>
    <t>Es wurden mehr Teams ausgewählt als erlaubt.</t>
  </si>
  <si>
    <t>lag</t>
  </si>
  <si>
    <t>Välj lag</t>
  </si>
  <si>
    <t>Inte tillräckligt många lag har valts ut.</t>
  </si>
  <si>
    <t>Tillräckligt med lag har valts ut.</t>
  </si>
  <si>
    <t>Fler lag har valts ut än tillåtet.</t>
  </si>
  <si>
    <t>nej</t>
  </si>
  <si>
    <t>one</t>
  </si>
  <si>
    <t>two</t>
  </si>
  <si>
    <t>three</t>
  </si>
  <si>
    <t>four</t>
  </si>
  <si>
    <t>five</t>
  </si>
  <si>
    <t>six</t>
  </si>
  <si>
    <t>seven</t>
  </si>
  <si>
    <t>eight</t>
  </si>
  <si>
    <t>nine</t>
  </si>
  <si>
    <t>ten</t>
  </si>
  <si>
    <t>twelve</t>
  </si>
  <si>
    <t>thirteen</t>
  </si>
  <si>
    <t>fourteen</t>
  </si>
  <si>
    <t>fifteen</t>
  </si>
  <si>
    <t>sixteen</t>
  </si>
  <si>
    <t>seventeen</t>
  </si>
  <si>
    <t>esteem</t>
  </si>
  <si>
    <t>nineteen</t>
  </si>
  <si>
    <t>twenty</t>
  </si>
  <si>
    <t>ein</t>
  </si>
  <si>
    <t>zwei</t>
  </si>
  <si>
    <t>drei</t>
  </si>
  <si>
    <t>fünf</t>
  </si>
  <si>
    <t>sechs</t>
  </si>
  <si>
    <t>Sieben</t>
  </si>
  <si>
    <t>neun</t>
  </si>
  <si>
    <t>zehn</t>
  </si>
  <si>
    <t>Elf</t>
  </si>
  <si>
    <t>zwölf</t>
  </si>
  <si>
    <t>dreizehn</t>
  </si>
  <si>
    <t>vierzehn</t>
  </si>
  <si>
    <t>fünfzehn</t>
  </si>
  <si>
    <t>sechzehn</t>
  </si>
  <si>
    <t>siebzehn</t>
  </si>
  <si>
    <t>Wertschätzung</t>
  </si>
  <si>
    <t>neunzehn</t>
  </si>
  <si>
    <t>zwanzig</t>
  </si>
  <si>
    <t>ett</t>
  </si>
  <si>
    <t>två</t>
  </si>
  <si>
    <t>tre</t>
  </si>
  <si>
    <t>fyra</t>
  </si>
  <si>
    <t>fem</t>
  </si>
  <si>
    <t>sex</t>
  </si>
  <si>
    <t>sju</t>
  </si>
  <si>
    <t>åtta</t>
  </si>
  <si>
    <t>nio</t>
  </si>
  <si>
    <t>tio</t>
  </si>
  <si>
    <t>älva</t>
  </si>
  <si>
    <t>tolv</t>
  </si>
  <si>
    <t>tretton</t>
  </si>
  <si>
    <t>fjorton</t>
  </si>
  <si>
    <t>femton</t>
  </si>
  <si>
    <t>sexton</t>
  </si>
  <si>
    <t>sjutton</t>
  </si>
  <si>
    <t>aktning</t>
  </si>
  <si>
    <t>nitton</t>
  </si>
  <si>
    <t>tjugo</t>
  </si>
  <si>
    <t>Er zijn teveel teams geselecteerd om een deelnamecode te genereren.</t>
  </si>
  <si>
    <t>Controleer het aantal geselecteerde teams op het werkblad "Teams".</t>
  </si>
  <si>
    <t>Er zijn onvoldoende teams geselecteerd om een deelnamecode te genereren.</t>
  </si>
  <si>
    <t>Er zijn voldoende teams geselecteerd om een deelnamecode te genereren.</t>
  </si>
  <si>
    <t>aantal verplichte regels</t>
  </si>
  <si>
    <t>aantal regels 1e pagina</t>
  </si>
  <si>
    <t>pagina break?</t>
  </si>
  <si>
    <t>max. aantal regels op 1 pagina</t>
  </si>
  <si>
    <t>aantal benodigde pagina's</t>
  </si>
  <si>
    <t>positie 1e regel 2e pagina</t>
  </si>
  <si>
    <t>aantal regels tweede pagina</t>
  </si>
  <si>
    <t>aanta extra lege regels</t>
  </si>
  <si>
    <t>BONUSVRAGENCODE</t>
  </si>
  <si>
    <t>TEAMSCODE</t>
  </si>
  <si>
    <t>teamscode :</t>
  </si>
  <si>
    <t>aantalcontrole :</t>
  </si>
  <si>
    <t>lengte controle :</t>
  </si>
  <si>
    <t>Bij het genereren van de deelnamecode voor de teams is er een fout geconstateerd.</t>
  </si>
  <si>
    <t>Controleer uw selectie van de  teams op het werkblad "Teams".</t>
  </si>
  <si>
    <t>Check the number of selected teams on the "Teams" worksheet.</t>
  </si>
  <si>
    <t>An error was detected while generating the participation code for the teams.</t>
  </si>
  <si>
    <t>Check your selection of teams on the "Teams" worksheet.</t>
  </si>
  <si>
    <t>Sufficient teams have been selected to generate an participation code.</t>
  </si>
  <si>
    <t>Not enough teams have been selected to generate an participation code.</t>
  </si>
  <si>
    <t>Too many teams have been selected to generate an participation code.</t>
  </si>
  <si>
    <t>Es wurden genügend Teams ausgewählt, um einen Teilnahmecode zu generieren.</t>
  </si>
  <si>
    <t>Es wurden nicht genügend Teams ausgewählt, um einen Teilnahmecode zu generieren.</t>
  </si>
  <si>
    <t>Es wurden zu viele Teams ausgewählt, um einen Teilnahmecode zu generieren.</t>
  </si>
  <si>
    <t>Überprüfen Sie die Anzahl der ausgewählten Teams auf dem Arbeitsblatt "Teams".</t>
  </si>
  <si>
    <t>Beim Generieren des Teilnahmecodes für die Teams wurde ein Fehler festgestellt.</t>
  </si>
  <si>
    <t>Überprüfen Sie Ihre Auswahl an Teams auf dem Arbeitsblatt "Teams".</t>
  </si>
  <si>
    <t>Aantal Regels (27 benodigd) --&gt;</t>
  </si>
  <si>
    <t>Inte tillräckligt många lag valdes ut för att generera en inträdeskod.</t>
  </si>
  <si>
    <t>För många lag har valts ut för att generera en anmälningskod.</t>
  </si>
  <si>
    <t>Kontrollera antalet utvalda lag på arbetsbladet Teams.</t>
  </si>
  <si>
    <t>Ett fel upptäcktes när deltagarkoden genererades för lagen.</t>
  </si>
  <si>
    <t>Granska ditt urval av lag på arbetsbladet Teams.</t>
  </si>
  <si>
    <t>Tillräckligt med lag har valts ut för att generera en startkod.</t>
  </si>
  <si>
    <t>TEKST BIJ ALLES GOED (7x)</t>
  </si>
  <si>
    <t>Se nästa sida för de andra lagen.</t>
  </si>
  <si>
    <t>Siehe nächste Seite für die anderen Teams.</t>
  </si>
  <si>
    <t>Zie volgende pagina voor de overige teams.</t>
  </si>
  <si>
    <t>See next page for the other teams.</t>
  </si>
  <si>
    <t>Dit werkblad is niet van toepassing. De organisator heeft gekozen om de TEAMS functie niet te gebruiken.</t>
  </si>
  <si>
    <t>This worksheet is not applicable. The organizer has chosen not to use the TEAMS function.</t>
  </si>
  <si>
    <t>Dieses Arbeitsblatt ist nicht anwendbar. Der Veranstalter verzichtet auf die Nutzung der TEAMS-Funktion.</t>
  </si>
  <si>
    <t>Detta arbetsblad är inte tillämpligt. Arrangören har valt att inte använda TEAM-funktionen.</t>
  </si>
  <si>
    <t>op de punten voor het juist voorspellen van de eindstand.</t>
  </si>
  <si>
    <t>predichting the match result.</t>
  </si>
  <si>
    <t>Vorhersage des Spiergebnisses</t>
  </si>
  <si>
    <t>poäng för att ha förutspått korrekt resultatet.</t>
  </si>
  <si>
    <t>De Deelnamecode en/of het Deelname Formulier dienen voor ### ingeleverd te worden bij $$$ (&amp;&amp;&amp;).</t>
  </si>
  <si>
    <t>De Deelnamecode en/of het Deelname Formulier dienen voor ### gemaild te worden naar &amp;&amp;&amp;.</t>
  </si>
  <si>
    <t>Het Deelname Formulier</t>
  </si>
  <si>
    <t>Championship. Check your entry on the "Final Matches" worksheet.</t>
  </si>
  <si>
    <t>Laginställningar</t>
  </si>
  <si>
    <t>Lag</t>
  </si>
  <si>
    <t>Endast poäng erhålls när rätt land förutspås i finalen.</t>
  </si>
  <si>
    <t xml:space="preserve">Under turneringen görs inte fler än sex mål i en match inluderat extra tid. </t>
  </si>
  <si>
    <t>Bonus$$$ voor het volledig juist voorspellen van alle landen bij de eindstand van één groep.</t>
  </si>
  <si>
    <t>Bonus $$$ for correctly predicting all the countries in the final standings of one group.</t>
  </si>
  <si>
    <t>UEFA Europees kampioenschap: Duitsland</t>
  </si>
  <si>
    <t>EURO 2024</t>
  </si>
  <si>
    <t>Nog één dag tot de start van EURO 2024</t>
  </si>
  <si>
    <t>Nog ### dagen tot de start van EURO 2024</t>
  </si>
  <si>
    <t>One more day until the start of the EURO 2024</t>
  </si>
  <si>
    <t>### days left until the start of the EURO 2024</t>
  </si>
  <si>
    <t>UEFA Europameisterschaft 2024: Deutschland</t>
  </si>
  <si>
    <t>Noch einen tag bis Anfang des EURO 2024</t>
  </si>
  <si>
    <t>Noch ### tage zum Anfang das EURO 2024</t>
  </si>
  <si>
    <t>Endast en dag kvar till start EURO 2024</t>
  </si>
  <si>
    <t>Endast ### dagar kvar till start EURO 2024</t>
  </si>
  <si>
    <t>UEFA Europamästerskape 2024t: Tyskland</t>
  </si>
  <si>
    <t>UEFA European Championship 2024: Germany</t>
  </si>
  <si>
    <t>Schotland</t>
  </si>
  <si>
    <t>Hongarije</t>
  </si>
  <si>
    <t>Scotland</t>
  </si>
  <si>
    <t>Hungary</t>
  </si>
  <si>
    <t>Italië</t>
  </si>
  <si>
    <t>Italy</t>
  </si>
  <si>
    <t>Albanië</t>
  </si>
  <si>
    <t>Albania</t>
  </si>
  <si>
    <t>Slovenië</t>
  </si>
  <si>
    <t>Slovenia</t>
  </si>
  <si>
    <t>Slovakia</t>
  </si>
  <si>
    <t>Slowakije</t>
  </si>
  <si>
    <t>Romania</t>
  </si>
  <si>
    <t>Roemenië</t>
  </si>
  <si>
    <t>Tsjechië</t>
  </si>
  <si>
    <t>Turkije</t>
  </si>
  <si>
    <t>Ungarn</t>
  </si>
  <si>
    <t>Italien</t>
  </si>
  <si>
    <t>Albanien</t>
  </si>
  <si>
    <t>Slovenien</t>
  </si>
  <si>
    <t>Slowenien</t>
  </si>
  <si>
    <t>Slowakei</t>
  </si>
  <si>
    <t>Rumänien</t>
  </si>
  <si>
    <t>Türkei</t>
  </si>
  <si>
    <t>Turkey</t>
  </si>
  <si>
    <t>Tschechische Republik</t>
  </si>
  <si>
    <t>Czech Republic</t>
  </si>
  <si>
    <t>Skottland</t>
  </si>
  <si>
    <t>Ungern</t>
  </si>
  <si>
    <t>Slovakien</t>
  </si>
  <si>
    <t>Turkiet</t>
  </si>
  <si>
    <t>Tjeckien</t>
  </si>
  <si>
    <t>ZZZ_land_G1</t>
  </si>
  <si>
    <t>ZZZ_land_G2</t>
  </si>
  <si>
    <t>ZZZ_land_G3</t>
  </si>
  <si>
    <t>ZZZ_land_G4</t>
  </si>
  <si>
    <t>ZZZ_land_H1</t>
  </si>
  <si>
    <t>ZZZ_land_H2</t>
  </si>
  <si>
    <t>ZZZ_land_H3</t>
  </si>
  <si>
    <t>ZZZ_land_H4</t>
  </si>
  <si>
    <t>Austria</t>
  </si>
  <si>
    <t>Österreich</t>
  </si>
  <si>
    <t>Österrike</t>
  </si>
  <si>
    <t>Oostenrijk</t>
  </si>
  <si>
    <t>Albanees voetbalelftal</t>
  </si>
  <si>
    <t>Hongaars voetbalelftal</t>
  </si>
  <si>
    <t>Oostenrijks voetbalelftal</t>
  </si>
  <si>
    <t>Roemeens voetbalelftal</t>
  </si>
  <si>
    <t>Slowaaks voetbalelftal</t>
  </si>
  <si>
    <t>Sloveens voetbalelftal</t>
  </si>
  <si>
    <t>Deense voetbalelftal</t>
  </si>
  <si>
    <t>Italiaans voetbalelftal</t>
  </si>
  <si>
    <t>Schots voetbalelftal</t>
  </si>
  <si>
    <t>Tsjechisch voetbalelftal</t>
  </si>
  <si>
    <t>Turks voetbalelftal</t>
  </si>
  <si>
    <t>Zwisters voetbalelftal</t>
  </si>
  <si>
    <t>Albanian national team</t>
  </si>
  <si>
    <t>Belgian national team</t>
  </si>
  <si>
    <t>German national team</t>
  </si>
  <si>
    <t>English national team</t>
  </si>
  <si>
    <t>French national team</t>
  </si>
  <si>
    <t>Hungarian national team</t>
  </si>
  <si>
    <t>Italian national team</t>
  </si>
  <si>
    <t>Croatian national team</t>
  </si>
  <si>
    <t>Austrian national team</t>
  </si>
  <si>
    <t>Portuguese national team</t>
  </si>
  <si>
    <t>Romanian national team</t>
  </si>
  <si>
    <t>Scottish national team</t>
  </si>
  <si>
    <t>Serbian national team</t>
  </si>
  <si>
    <t>Slovenian national team</t>
  </si>
  <si>
    <t>Slovak national team</t>
  </si>
  <si>
    <t>Spanish national team</t>
  </si>
  <si>
    <t>Czech national team</t>
  </si>
  <si>
    <t>Turkish national team</t>
  </si>
  <si>
    <t>Swiss national team</t>
  </si>
  <si>
    <t>Albanische Nationalmannschaft</t>
  </si>
  <si>
    <t>Deutsche Nationalmannschaft</t>
  </si>
  <si>
    <t>Englische Nationalmannschaft</t>
  </si>
  <si>
    <t>Ungarische Nationalmannschaft</t>
  </si>
  <si>
    <t>Italienische Nationalmannschaft</t>
  </si>
  <si>
    <t>Österreichische Nationalmannschaft</t>
  </si>
  <si>
    <t>Portugiesische Nationalmannschaft</t>
  </si>
  <si>
    <t>Rumänische Nationalmannschaft</t>
  </si>
  <si>
    <t>Schottische Nationalmannschaft</t>
  </si>
  <si>
    <t>Slowenische Nationalmannschaft</t>
  </si>
  <si>
    <t>Slowakische Nationalmannschaft</t>
  </si>
  <si>
    <t>Tschechische Nationalmannschaft</t>
  </si>
  <si>
    <t>Türkische Nationalmannschaft</t>
  </si>
  <si>
    <t>Albanska landslaget</t>
  </si>
  <si>
    <t>Belgiska landslaget</t>
  </si>
  <si>
    <t>Danska landslaget</t>
  </si>
  <si>
    <t>Tyska landslaget</t>
  </si>
  <si>
    <t>Engelska landslaget</t>
  </si>
  <si>
    <t>Franska landslaget</t>
  </si>
  <si>
    <t>Ungerns landslag</t>
  </si>
  <si>
    <t>Italienska landslaget</t>
  </si>
  <si>
    <t>Kroatiska landslaget</t>
  </si>
  <si>
    <t>Holländska landslaget</t>
  </si>
  <si>
    <t>Österrikiska landslaget</t>
  </si>
  <si>
    <t>Portugisiska landslaget</t>
  </si>
  <si>
    <t>Rumäniens landslag</t>
  </si>
  <si>
    <t>Skottlands landslag</t>
  </si>
  <si>
    <t>Serbiska landslaget</t>
  </si>
  <si>
    <t>Sloveniens landslag</t>
  </si>
  <si>
    <t>Slovakiska landslaget</t>
  </si>
  <si>
    <t>Spanska landslaget</t>
  </si>
  <si>
    <t>Tjeckiska landslaget</t>
  </si>
  <si>
    <t>Turkiska landslaget</t>
  </si>
  <si>
    <t>Schweiziska landslaget</t>
  </si>
  <si>
    <t>ABCDEF</t>
  </si>
  <si>
    <t>40 uit</t>
  </si>
  <si>
    <t>DEF</t>
  </si>
  <si>
    <t>39 uit</t>
  </si>
  <si>
    <t>ADEF</t>
  </si>
  <si>
    <t>41 uit</t>
  </si>
  <si>
    <t>ABC</t>
  </si>
  <si>
    <t>43 uit</t>
  </si>
  <si>
    <t>45 thuis</t>
  </si>
  <si>
    <t>45 uit</t>
  </si>
  <si>
    <t>ABDEF</t>
  </si>
  <si>
    <t>AC</t>
  </si>
  <si>
    <t>46 thuis</t>
  </si>
  <si>
    <t>46 uit</t>
  </si>
  <si>
    <t>ABCF</t>
  </si>
  <si>
    <t>48 thuis</t>
  </si>
  <si>
    <t>48 uit</t>
  </si>
  <si>
    <t>CDEF</t>
  </si>
  <si>
    <t>47 thuis</t>
  </si>
  <si>
    <t>47 uit</t>
  </si>
  <si>
    <t>ABCDE</t>
  </si>
  <si>
    <t>DF</t>
  </si>
  <si>
    <t>49,50,51 thuis/uit</t>
  </si>
  <si>
    <t>1/8 finales</t>
  </si>
  <si>
    <t>(halve)finales</t>
  </si>
  <si>
    <t>voor het goed voorspellen van de winnaar van het EK.</t>
  </si>
  <si>
    <t>for correctly predicting the winner of the Europen Championship</t>
  </si>
  <si>
    <t>für die richtige Vorhersage des Siegers der Europameisterschaft.</t>
  </si>
  <si>
    <t>för att korrekt tippa vinnaren av Europamästerskapet</t>
  </si>
  <si>
    <t>Europees kampioen</t>
  </si>
  <si>
    <t>European Champion</t>
  </si>
  <si>
    <t>Europameister</t>
  </si>
  <si>
    <t>Europamästare</t>
  </si>
  <si>
    <t>De Groepswedstrijden - Groep A t/m F</t>
  </si>
  <si>
    <t>The Group Stage - Groups A to F</t>
  </si>
  <si>
    <t>Die Gruppenphase - Gruppen A bis F</t>
  </si>
  <si>
    <t>Gruppspelets matchar - Grupper A t.o.m. F</t>
  </si>
  <si>
    <t>Slutranking Grupp A till F</t>
  </si>
  <si>
    <t>Endrangliste Gruppe A bis F</t>
  </si>
  <si>
    <t>Final Ranking Group A to F</t>
  </si>
  <si>
    <t>Eindstand Groep A t/m F</t>
  </si>
  <si>
    <t>Het toernooi bestaat uit 51 wedstrijden waarvan 36 groepswedstrijden en 15 finales.</t>
  </si>
  <si>
    <t>The tournament consists of 51 matches of which 36 group matches and 15 finals.</t>
  </si>
  <si>
    <t>Das Turnier besteht aus 51 Spielen, davon 36 Gruppenspiele und 15 Endspielen.</t>
  </si>
  <si>
    <t>Turneringen består av 51 matcher, varav 36 är gruppmatcher och 15 finaler.</t>
  </si>
  <si>
    <t>wedstrijden en 15</t>
  </si>
  <si>
    <t>uit 51 wedstrijden</t>
  </si>
  <si>
    <t>waarvan 36 groeps-</t>
  </si>
  <si>
    <t>consists of 51</t>
  </si>
  <si>
    <t>36 group matches</t>
  </si>
  <si>
    <t>and 15 finals.</t>
  </si>
  <si>
    <t>besteht aus 51</t>
  </si>
  <si>
    <t>36 Gruppenspiele</t>
  </si>
  <si>
    <t>und 15 Endspiele.</t>
  </si>
  <si>
    <t>av 51 matcher,</t>
  </si>
  <si>
    <t>varav 36 grupp-</t>
  </si>
  <si>
    <t>matcher och 15</t>
  </si>
  <si>
    <t>Voorspelling Winnaar EURO 2024</t>
  </si>
  <si>
    <t>Prediction Winner EURO 2024</t>
  </si>
  <si>
    <t>Vorhersage Gewinner EURO 2024</t>
  </si>
  <si>
    <t>Förutsägelsen vinnaren EURO 2024</t>
  </si>
  <si>
    <t>Het genereren van de deelnamecode voor de winnaar van het EK is niet mogelijk in verband met het ontbreken</t>
  </si>
  <si>
    <t>It is not possible to generate the participation code for the winner of the European Championship due</t>
  </si>
  <si>
    <t>Das Generieren des Teilnahmecodes für den Gewinner der EM ist nicht möglich wegen</t>
  </si>
  <si>
    <t>Det är inte möjligt att generera deltagarkoden för vinnaren fotbolls-EM på grund av att</t>
  </si>
  <si>
    <t>data saknas. Förutspå en fotbolls-EM:s vinnare i arbetsbladet "Final matcher".</t>
  </si>
  <si>
    <t>Bij het genereren van de deelnamecode voor de winnaar van het EK is er een fout geconstateerd. Controleer</t>
  </si>
  <si>
    <t>An error was detected when generating the participation code for the winner of the European</t>
  </si>
  <si>
    <t>Beim Generieren des Teilnahmecodes für den Gewinner des European wurde ein Fehler festgestellt</t>
  </si>
  <si>
    <t>Ett fel upptäcktes när deltagarkoden genererades för vinnaren fobolls-EM. Kontrollera din</t>
  </si>
  <si>
    <t>Meisterschaft. Überprüfen Sie Ihre Eingabe auf dem Arbeitsblatt "Final Matches".</t>
  </si>
  <si>
    <t>De deelnamecode voor de winnaar van het EK is zonder foutmeldingen gegenereerd.</t>
  </si>
  <si>
    <t>The participation code for the winner of the European Championship is generated without errors.</t>
  </si>
  <si>
    <t>Der Teilnahmecode für den Gewinner der Europameisterschaft wird fehlerfrei generiert.</t>
  </si>
  <si>
    <t>Deltagarkoden för fotbolls-EM:s vinnare har genererats utan fel.</t>
  </si>
  <si>
    <t>SC</t>
  </si>
  <si>
    <t>HU</t>
  </si>
  <si>
    <t>IT</t>
  </si>
  <si>
    <t>AL</t>
  </si>
  <si>
    <t>SI</t>
  </si>
  <si>
    <t>SK</t>
  </si>
  <si>
    <t>AT</t>
  </si>
  <si>
    <t>RO</t>
  </si>
  <si>
    <t>TR</t>
  </si>
  <si>
    <t>CZ</t>
  </si>
  <si>
    <t>ZA</t>
  </si>
  <si>
    <t>ZB</t>
  </si>
  <si>
    <t>ZC</t>
  </si>
  <si>
    <t>ZD</t>
  </si>
  <si>
    <t>ZF</t>
  </si>
  <si>
    <t>ZG</t>
  </si>
  <si>
    <t>ZE</t>
  </si>
  <si>
    <t>ZH</t>
  </si>
  <si>
    <t>C150200250</t>
  </si>
  <si>
    <t>D000080160</t>
  </si>
  <si>
    <t>B000080160</t>
  </si>
  <si>
    <t>De punten voor de bonusvragen worden pas meegeteld als de winnaar van het EK bekend is.</t>
  </si>
  <si>
    <t>The points for the bonus questions are added when the winner of the European Championship is known.</t>
  </si>
  <si>
    <t>Die Punkte für die Bonusfragen werden addiert, wenn der Gewinner der Europameisterschaft bekannt ist.</t>
  </si>
  <si>
    <t>Poängen för bonusfrågorna räknas endast efter att EM's vinnare är känd.</t>
  </si>
  <si>
    <t>09</t>
  </si>
  <si>
    <t>wedstrijd 38</t>
  </si>
  <si>
    <t>TODO keuzevelden</t>
  </si>
  <si>
    <t>van gegevens. Voorspel de winnaar van het EK  op het werkblad "Finalewedstrijden".</t>
  </si>
  <si>
    <t>to the lack of data. Predict the winner of the European Championship on the worksheet "Final Matches".</t>
  </si>
  <si>
    <t>zum Datenmangel. Sagen Sie den Gewinner der Europameisterschaft auf dem Arbeitsblatt "Final Matches" voraus.</t>
  </si>
  <si>
    <t>Van de zes groepswinnaars weten er minimaal vijf de achtste finales te overleven en zo ook de kwartfinales te bereiken.</t>
  </si>
  <si>
    <t>Of the six group winners, at least five manage to survive the round of 16 and thus reach the quarter-finals.</t>
  </si>
  <si>
    <t>Von den sechs Gruppensiegern schaffen es mindestens fünf, das Achtelfinale zu überstehen und damit das Viertelfinale zu erreichen.</t>
  </si>
  <si>
    <t>Av de sex gruppvinnarna lyckas minst fem överleva åttonde finalen och därmed också nå kvartfinalen.</t>
  </si>
  <si>
    <t>Van de vier landen die als beste nr. 3 doorgaan naar de achtste finales weet er minimaal één ook de kwartfinales te bereiken.</t>
  </si>
  <si>
    <t>Of the four teams that go through to the eighth finals as the best number 3, at least one also managed to reach the quarter-finals</t>
  </si>
  <si>
    <t>Von den vier Mannschaften, die als beste Nummer 3 ins Achtelfinale einziehen, hat mindestens eine auch das Viertelfinale erreicht</t>
  </si>
  <si>
    <t>Av de fyra länder som går vidare till åttondelsfinalen som bästa nr 3, lyckas minst ett också nå kvartfinalen.</t>
  </si>
  <si>
    <t>Van de vijftien finale wedstrijden worden zes wedstrijden of meer beslist door een verlenging of strafschoppenserie.</t>
  </si>
  <si>
    <t>Of the fifteen final matches, six matches or more are decided during the extra time or penalty series.</t>
  </si>
  <si>
    <t>Von den fünfzehn Finalspielen werden sechs oder mehr Spiele in der Verlängerung oder Strafrunde entschieden.</t>
  </si>
  <si>
    <t>Av de femton slutmatcherna avgörs sex eller fler matcher genom förlängning eller straffsparkar.</t>
  </si>
  <si>
    <t>De winnaar van het toernooi levert tevens ook de topscorer van het toernooi of één van de topscorers.</t>
  </si>
  <si>
    <t>Alle 24 deelnemende landen weten elk minimaal één keer te scoren gedurende het toernooi.</t>
  </si>
  <si>
    <t xml:space="preserve"> All 24 participating countries have each scored at least once during the tournament.</t>
  </si>
  <si>
    <t>Samtliga 24 deltagande länder lyckades göra var minst ett mål.</t>
  </si>
  <si>
    <t>Alle 24 teilnehmenden Länder schießen während des Turniers mindestens ein Tor.</t>
  </si>
  <si>
    <t>Van alle gescoorde doelpunten tijdens het toernooi worden er minimaal vijf in eigen doel gescoord.</t>
  </si>
  <si>
    <t>Of all the goals scored during the tournament, at least five are scored in their own goal.</t>
  </si>
  <si>
    <t>Von allen während des Turniers erzielten Toren werden mindestens fünf im Eigentor erzielt.</t>
  </si>
  <si>
    <t>Av alla mål som gjorts under turneringen görs minst fem egna mål.</t>
  </si>
  <si>
    <t>Het land dat zich aan het einde van het toernooi Europees kampioen mag noemen is één van de landen uit groep A, B of C.</t>
  </si>
  <si>
    <t>The country that can call itself the European champion at the end of the tournament is one of the countries from group A, B or C.</t>
  </si>
  <si>
    <t>Das Land, das sich am Ende des Turniers Europameister nennen darf, ist eines der Länder aus Gruppe A, B oder C.</t>
  </si>
  <si>
    <t>Det land som kan titulera sig Europamästare i slutet av turneringen är ett av länderna i grupp A, B eller C.</t>
  </si>
  <si>
    <t>The final of the tournament will be played by two countries that finished first in the group stage.</t>
  </si>
  <si>
    <t>De finale van het toernooi zal worden gespeeld door twee landen die in de groepsfase eerste van de groep zijn geworden.</t>
  </si>
  <si>
    <t>Das Finale des Turniers wird von den beiden Ländern bestritten, die in der Gruppenphase den ersten Platz belegt haben.</t>
  </si>
  <si>
    <t>Finalen i turneringen kommer att avgöras av de två länder som kom först i gruppspelet.</t>
  </si>
  <si>
    <t>Net zoals tijdens EURO 2020 weten België, Duitsland, Engeland, Frankrijk, Italië, Nederland, Portugal en Spanje allen de achtste finales te bereiken.</t>
  </si>
  <si>
    <t>Tijdens EURO 2020 stonden Engeland en Italië in de finale tegenover elkaar. Één of beide teams weten ook deze editie weer te finale te bereiken.</t>
  </si>
  <si>
    <t>At EURO 2020, England and Italy faced each other in the final. One or both teams manage to reach the final again this edition.</t>
  </si>
  <si>
    <t>Wie bei der EURO 2020 haben Belgien, Deutschland, England, Frankreich, Italien, die Niederlande, Portugal und Spanien das Achtelfinale erreicht.</t>
  </si>
  <si>
    <t>Bei der EURO 2020 standen sich England und Italien im Finale gegenüber. Auch bei dieser Ausgabe werden eine oder beide Mannschaften das Finale erreichen.</t>
  </si>
  <si>
    <t>Vid EURO 2020 möttes England och Italien i finalen. Ett eller båda lagen kommer också att nå finalen i denna upplaga.</t>
  </si>
  <si>
    <t>wed. 45u</t>
  </si>
  <si>
    <t>wed. 48t</t>
  </si>
  <si>
    <t>wed. 99u</t>
  </si>
  <si>
    <t>wed. 45t</t>
  </si>
  <si>
    <t>wed. 46t</t>
  </si>
  <si>
    <t>wed. 47t</t>
  </si>
  <si>
    <t>wed. 47u</t>
  </si>
  <si>
    <t>wed. 51t</t>
  </si>
  <si>
    <t>wed. 51u</t>
  </si>
  <si>
    <t>Groep A t/m C</t>
  </si>
  <si>
    <t>wed. 40u</t>
  </si>
  <si>
    <t>wed. 39u</t>
  </si>
  <si>
    <t>wed. 41u</t>
  </si>
  <si>
    <t>wed. 43u</t>
  </si>
  <si>
    <t>Engeland/Italië</t>
  </si>
  <si>
    <t>As at EURO 2020, Belgium, England, France, Germany, Italy, the Netherlands, Portugal and Spain all made it to the eighth finals.</t>
  </si>
  <si>
    <t>Liksom vid EURO 2020 gick Belgien, England, Frankrike, Italien, Nederländerna, Portugal, Spanien och Tyskland till 16-delsfinal.</t>
  </si>
  <si>
    <t>4mu89yl7NlLwpeUTczohs7HF</t>
  </si>
  <si>
    <t>oDmOXBsF5UhTPdDbZMwyyq2n</t>
  </si>
  <si>
    <t>Dit deelname formulier betreft een demo-versie voor het EK 2024 in Duitsland. Het generenen van een deelnamecode is hierin uitgeschakeld ongeacht of alle onderdelen juist zijn ingevuld.</t>
  </si>
  <si>
    <t>This participation form concerns a demo version for the EURO 2024 in Germany. The participation code is disabled here regardless of whether all components have been entered correctly.</t>
  </si>
  <si>
    <t>Dieses Teilnahmeformular betrifft eine Demoversion für die  EURO 2024 in Deutschland. Der Teilnahmecode ist hier deaktiviert, unabhängig davon, ob alle Komponenten korrekt eingegeben wurden.</t>
  </si>
  <si>
    <t>Detta deltagandeformulär är en demoversion för fotbolls EURO 2024 i Tyskland. Generering av en deltagarkod är inaktiverad, även om alla delar är korrekt ifyllda.</t>
  </si>
  <si>
    <t>E000080160</t>
  </si>
  <si>
    <t xml:space="preserve">LibFileTools toepassen bij macro's om de pool </t>
  </si>
  <si>
    <t>geschikt te maken voor OneDrive/Sharepoint</t>
  </si>
  <si>
    <t>1 = ja, leeg/0 = nee</t>
  </si>
  <si>
    <t>Polen</t>
  </si>
  <si>
    <t>Poland</t>
  </si>
  <si>
    <t>Oekraïne</t>
  </si>
  <si>
    <t>Ukraine</t>
  </si>
  <si>
    <t>Georgië</t>
  </si>
  <si>
    <t>Georgia</t>
  </si>
  <si>
    <t>Georgien</t>
  </si>
  <si>
    <t>Ukraina</t>
  </si>
  <si>
    <t>PL</t>
  </si>
  <si>
    <t>UA</t>
  </si>
  <si>
    <t>GE</t>
  </si>
  <si>
    <t>B4E1C2A1C4D4F2A3B3B2D2E4D3D1F3E3A2C3C1E2B1F4F1A4G1G2G3G4H1H2H3H4</t>
  </si>
  <si>
    <t>B4D3E1B2F4C2C4D4F2A1A3B3D2D1F3E3A2C3E2C1B1A4F1E4G1G2G3G4H1H2H3H4</t>
  </si>
  <si>
    <t>B4E1C2A1C4D4F2B3B2D2D3D1F3E3A2A4C3E2C1B1F4F1E4A3G1G2G3G4H1H2H3H4</t>
  </si>
  <si>
    <t>B4E1C2C4D4F2B3B2D2D3D1F3E3A4C3A2E2C1B1F4F1A1E4A3G1G2G3G4H1H2H3H4</t>
  </si>
  <si>
    <t>Pools voetbalelftal</t>
  </si>
  <si>
    <t>Oekraïens voetbalelftal</t>
  </si>
  <si>
    <t>Georgisch voetbalelftal</t>
  </si>
  <si>
    <t>Ukrainian national team</t>
  </si>
  <si>
    <t>Polish national team</t>
  </si>
  <si>
    <t>Georgian national team</t>
  </si>
  <si>
    <t>Polnische Nationalmannschaft</t>
  </si>
  <si>
    <t>Ukrainische Nationalmannschaft</t>
  </si>
  <si>
    <t>Georgische Nationalmannschaft</t>
  </si>
  <si>
    <t>Polska landslag</t>
  </si>
  <si>
    <t>Ukrainskt landslag</t>
  </si>
  <si>
    <t>Georgiskt landslag</t>
  </si>
  <si>
    <t>DEF3</t>
  </si>
  <si>
    <t>ADEF3</t>
  </si>
  <si>
    <t>ABC3</t>
  </si>
  <si>
    <t>ABCD3</t>
  </si>
  <si>
    <t>©2024 Eric de Jong v24.00dh</t>
  </si>
  <si>
    <t>|dh|E150614|10#624|Jamilo*#EK-pool|Jamilo|info@jamilo.nl||DD|P|##|##|500|5000|3000|2000|||||30|22|#0|16|10|#4|#5|#3|#1|##|X##|X##|X##|BANA|</t>
  </si>
  <si>
    <t>&lt;0|00|0|00|00&gt;</t>
  </si>
  <si>
    <t>e.martens@bisbee.nl</t>
  </si>
  <si>
    <t>Eric Martens (Bisbee)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</si>
</sst>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3]d/mmm;@"/>
    <numFmt numFmtId="165" formatCode="h:mm;@"/>
    <numFmt numFmtId="166" formatCode="0.0"/>
  </numFmts>
  <fonts count="122" x14ac:knownFonts="1">
    <font>
      <sz val="11"/>
      <color theme="1"/>
      <name val="Calibri"/>
      <family val="2"/>
      <scheme val="minor"/>
    </font>
    <font>
      <b/>
      <sz val="11"/>
      <color theme="1"/>
      <name val="Calibri"/>
      <family val="2"/>
      <scheme val="minor"/>
    </font>
    <font>
      <i/>
      <sz val="11"/>
      <color theme="1"/>
      <name val="Calibri"/>
      <family val="2"/>
      <scheme val="minor"/>
    </font>
    <font>
      <sz val="20"/>
      <color theme="1"/>
      <name val="Calibri"/>
      <family val="2"/>
      <scheme val="minor"/>
    </font>
    <font>
      <b/>
      <sz val="2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sz val="11"/>
      <color theme="0" tint="-0.499984740745262"/>
      <name val="Calibri"/>
      <family val="2"/>
      <scheme val="minor"/>
    </font>
    <font>
      <b/>
      <i/>
      <sz val="11"/>
      <color theme="1"/>
      <name val="Calibri"/>
      <family val="2"/>
      <scheme val="minor"/>
    </font>
    <font>
      <i/>
      <sz val="9"/>
      <color theme="1"/>
      <name val="Calibri"/>
      <family val="2"/>
      <scheme val="minor"/>
    </font>
    <font>
      <sz val="11"/>
      <name val="Calibri"/>
      <family val="2"/>
      <scheme val="minor"/>
    </font>
    <font>
      <sz val="11"/>
      <color theme="0"/>
      <name val="Calibri"/>
      <family val="2"/>
      <scheme val="minor"/>
    </font>
    <font>
      <sz val="8"/>
      <color theme="1"/>
      <name val="Calibri"/>
      <family val="2"/>
      <scheme val="minor"/>
    </font>
    <font>
      <i/>
      <sz val="11"/>
      <color theme="0"/>
      <name val="Calibri"/>
      <family val="2"/>
      <scheme val="minor"/>
    </font>
    <font>
      <b/>
      <sz val="14"/>
      <color theme="1"/>
      <name val="Calibri"/>
      <family val="2"/>
      <scheme val="minor"/>
    </font>
    <font>
      <b/>
      <sz val="11"/>
      <name val="Calibri"/>
      <family val="2"/>
      <scheme val="minor"/>
    </font>
    <font>
      <i/>
      <sz val="11"/>
      <name val="Calibri"/>
      <family val="2"/>
      <scheme val="minor"/>
    </font>
    <font>
      <sz val="14"/>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tint="-0.34998626667073579"/>
      <name val="Calibri"/>
      <family val="2"/>
      <scheme val="minor"/>
    </font>
    <font>
      <b/>
      <i/>
      <sz val="11"/>
      <color rgb="FFFF0000"/>
      <name val="Calibri"/>
      <family val="2"/>
      <scheme val="minor"/>
    </font>
    <font>
      <b/>
      <sz val="20"/>
      <name val="Calibri"/>
      <family val="2"/>
      <scheme val="minor"/>
    </font>
    <font>
      <i/>
      <sz val="14"/>
      <color theme="1"/>
      <name val="Calibri"/>
      <family val="2"/>
      <scheme val="minor"/>
    </font>
    <font>
      <sz val="26"/>
      <color theme="0"/>
      <name val="Calibri"/>
      <family val="2"/>
      <scheme val="minor"/>
    </font>
    <font>
      <b/>
      <sz val="16"/>
      <name val="Calibri"/>
      <family val="2"/>
      <scheme val="minor"/>
    </font>
    <font>
      <sz val="10"/>
      <color theme="0" tint="-0.34998626667073579"/>
      <name val="Calibri"/>
      <family val="2"/>
      <scheme val="minor"/>
    </font>
    <font>
      <i/>
      <sz val="9"/>
      <color theme="1" tint="0.34998626667073579"/>
      <name val="Calibri"/>
      <family val="2"/>
      <scheme val="minor"/>
    </font>
    <font>
      <b/>
      <sz val="11"/>
      <color theme="3" tint="-0.249977111117893"/>
      <name val="Calibri"/>
      <family val="2"/>
      <scheme val="minor"/>
    </font>
    <font>
      <b/>
      <sz val="24"/>
      <color theme="3" tint="-0.249977111117893"/>
      <name val="Calibri"/>
      <family val="2"/>
      <scheme val="minor"/>
    </font>
    <font>
      <b/>
      <sz val="18"/>
      <color theme="1"/>
      <name val="Calibri"/>
      <family val="2"/>
      <scheme val="minor"/>
    </font>
    <font>
      <sz val="9"/>
      <color theme="0"/>
      <name val="Calibri"/>
      <family val="2"/>
      <scheme val="minor"/>
    </font>
    <font>
      <b/>
      <i/>
      <sz val="11"/>
      <name val="Calibri"/>
      <family val="2"/>
      <scheme val="minor"/>
    </font>
    <font>
      <sz val="10"/>
      <color theme="0" tint="-0.499984740745262"/>
      <name val="Calibri"/>
      <family val="2"/>
      <scheme val="minor"/>
    </font>
    <font>
      <sz val="12"/>
      <color theme="1"/>
      <name val="Calibri"/>
      <family val="2"/>
      <scheme val="minor"/>
    </font>
    <font>
      <i/>
      <sz val="11"/>
      <color theme="1" tint="0.34998626667073579"/>
      <name val="Calibri"/>
      <family val="2"/>
      <scheme val="minor"/>
    </font>
    <font>
      <b/>
      <sz val="14"/>
      <color theme="0"/>
      <name val="Calibri"/>
      <family val="2"/>
      <scheme val="minor"/>
    </font>
    <font>
      <i/>
      <sz val="10"/>
      <color theme="1"/>
      <name val="Calibri"/>
      <family val="2"/>
      <scheme val="minor"/>
    </font>
    <font>
      <b/>
      <sz val="11"/>
      <color theme="1" tint="0.34998626667073579"/>
      <name val="Calibri"/>
      <family val="2"/>
      <scheme val="minor"/>
    </font>
    <font>
      <sz val="11"/>
      <color theme="1"/>
      <name val="Calibri"/>
      <family val="2"/>
    </font>
    <font>
      <sz val="10"/>
      <color theme="1" tint="0.499984740745262"/>
      <name val="Calibri"/>
      <family val="2"/>
      <scheme val="minor"/>
    </font>
    <font>
      <sz val="11"/>
      <color theme="1" tint="0.499984740745262"/>
      <name val="Calibri"/>
      <family val="2"/>
      <scheme val="minor"/>
    </font>
    <font>
      <b/>
      <sz val="12"/>
      <color theme="0"/>
      <name val="Calibri"/>
      <family val="2"/>
      <scheme val="minor"/>
    </font>
    <font>
      <i/>
      <sz val="10"/>
      <color theme="0"/>
      <name val="Calibri"/>
      <family val="2"/>
      <scheme val="minor"/>
    </font>
    <font>
      <sz val="10"/>
      <color theme="0"/>
      <name val="Calibri"/>
      <family val="2"/>
    </font>
    <font>
      <b/>
      <sz val="11"/>
      <color theme="3" tint="0.79998168889431442"/>
      <name val="Calibri"/>
      <family val="2"/>
      <scheme val="minor"/>
    </font>
    <font>
      <sz val="11"/>
      <color theme="3" tint="0.79998168889431442"/>
      <name val="Calibri"/>
      <family val="2"/>
      <scheme val="minor"/>
    </font>
    <font>
      <sz val="9"/>
      <color theme="1"/>
      <name val="Calibri"/>
      <family val="2"/>
    </font>
    <font>
      <b/>
      <i/>
      <sz val="11"/>
      <color theme="0"/>
      <name val="Calibri"/>
      <family val="2"/>
      <scheme val="minor"/>
    </font>
    <font>
      <b/>
      <sz val="10"/>
      <color theme="1"/>
      <name val="Calibri"/>
      <family val="2"/>
      <scheme val="minor"/>
    </font>
    <font>
      <b/>
      <sz val="10"/>
      <name val="Calibri"/>
      <family val="2"/>
      <scheme val="minor"/>
    </font>
    <font>
      <sz val="10"/>
      <name val="Calibri"/>
      <family val="2"/>
      <scheme val="minor"/>
    </font>
    <font>
      <b/>
      <sz val="12"/>
      <name val="Calibri"/>
      <family val="2"/>
      <scheme val="minor"/>
    </font>
    <font>
      <sz val="10"/>
      <color theme="0"/>
      <name val="Calibri"/>
      <family val="2"/>
      <scheme val="minor"/>
    </font>
    <font>
      <sz val="10"/>
      <color theme="0"/>
      <name val="Arial"/>
      <family val="2"/>
    </font>
    <font>
      <i/>
      <sz val="9"/>
      <color theme="1" tint="0.499984740745262"/>
      <name val="Calibri"/>
      <family val="2"/>
      <scheme val="minor"/>
    </font>
    <font>
      <b/>
      <sz val="11"/>
      <color theme="0" tint="-0.249977111117893"/>
      <name val="Calibri"/>
      <family val="2"/>
      <scheme val="minor"/>
    </font>
    <font>
      <sz val="10"/>
      <color theme="0"/>
      <name val="Arial Narrow"/>
      <family val="2"/>
    </font>
    <font>
      <sz val="14"/>
      <color theme="0"/>
      <name val="Calibri"/>
      <family val="2"/>
      <scheme val="minor"/>
    </font>
    <font>
      <b/>
      <sz val="14"/>
      <name val="Calibri"/>
      <family val="2"/>
      <scheme val="minor"/>
    </font>
    <font>
      <sz val="14"/>
      <name val="Calibri"/>
      <family val="2"/>
      <scheme val="minor"/>
    </font>
    <font>
      <sz val="8"/>
      <color theme="0" tint="-0.34998626667073579"/>
      <name val="Calibri"/>
      <family val="2"/>
      <scheme val="minor"/>
    </font>
    <font>
      <sz val="9"/>
      <name val="Calibri"/>
      <family val="2"/>
      <scheme val="minor"/>
    </font>
    <font>
      <b/>
      <sz val="9"/>
      <name val="Calibri"/>
      <family val="2"/>
      <scheme val="minor"/>
    </font>
    <font>
      <sz val="11"/>
      <color theme="5"/>
      <name val="Calibri"/>
      <family val="2"/>
      <scheme val="minor"/>
    </font>
    <font>
      <sz val="9"/>
      <color theme="5"/>
      <name val="Calibri"/>
      <family val="2"/>
      <scheme val="minor"/>
    </font>
    <font>
      <i/>
      <sz val="9"/>
      <color theme="5"/>
      <name val="Calibri"/>
      <family val="2"/>
      <scheme val="minor"/>
    </font>
    <font>
      <sz val="12"/>
      <color theme="0"/>
      <name val="Calibri"/>
      <family val="2"/>
      <scheme val="minor"/>
    </font>
    <font>
      <b/>
      <sz val="24"/>
      <color theme="3"/>
      <name val="Calibri"/>
      <family val="2"/>
      <scheme val="minor"/>
    </font>
    <font>
      <sz val="36"/>
      <color theme="1"/>
      <name val="Calibri"/>
      <family val="2"/>
      <scheme val="minor"/>
    </font>
    <font>
      <b/>
      <sz val="11"/>
      <color rgb="FFF3F3F3"/>
      <name val="Calibri"/>
      <family val="2"/>
      <scheme val="minor"/>
    </font>
    <font>
      <i/>
      <sz val="11"/>
      <color rgb="FFFF0000"/>
      <name val="Calibri"/>
      <family val="2"/>
      <scheme val="minor"/>
    </font>
    <font>
      <sz val="20"/>
      <name val="Calibri"/>
      <family val="2"/>
      <scheme val="minor"/>
    </font>
    <font>
      <i/>
      <sz val="9"/>
      <color theme="1" tint="0.249977111117893"/>
      <name val="Calibri"/>
      <family val="2"/>
      <scheme val="minor"/>
    </font>
    <font>
      <sz val="9"/>
      <color rgb="FFFF0000"/>
      <name val="Calibri"/>
      <family val="2"/>
      <scheme val="minor"/>
    </font>
    <font>
      <b/>
      <i/>
      <strike/>
      <sz val="11"/>
      <color theme="1"/>
      <name val="Calibri"/>
      <family val="2"/>
      <scheme val="minor"/>
    </font>
    <font>
      <i/>
      <strike/>
      <sz val="11"/>
      <color theme="1"/>
      <name val="Calibri"/>
      <family val="2"/>
      <scheme val="minor"/>
    </font>
    <font>
      <strike/>
      <sz val="11"/>
      <color theme="1"/>
      <name val="Calibri"/>
      <family val="2"/>
      <scheme val="minor"/>
    </font>
    <font>
      <b/>
      <i/>
      <sz val="10"/>
      <color theme="1"/>
      <name val="Calibri"/>
      <family val="2"/>
      <scheme val="minor"/>
    </font>
    <font>
      <i/>
      <sz val="10"/>
      <color theme="1" tint="0.499984740745262"/>
      <name val="Calibri"/>
      <family val="2"/>
      <scheme val="minor"/>
    </font>
    <font>
      <b/>
      <i/>
      <sz val="12"/>
      <color theme="0"/>
      <name val="Calibri"/>
      <family val="2"/>
      <scheme val="minor"/>
    </font>
    <font>
      <b/>
      <i/>
      <u/>
      <sz val="11"/>
      <color theme="1"/>
      <name val="Calibri"/>
      <family val="2"/>
      <scheme val="minor"/>
    </font>
    <font>
      <i/>
      <sz val="10"/>
      <name val="Calibri"/>
      <family val="2"/>
      <scheme val="minor"/>
    </font>
    <font>
      <i/>
      <sz val="10"/>
      <color theme="0" tint="-0.499984740745262"/>
      <name val="Calibri"/>
      <family val="2"/>
      <scheme val="minor"/>
    </font>
    <font>
      <b/>
      <sz val="11"/>
      <color theme="4"/>
      <name val="Calibri"/>
      <family val="2"/>
      <scheme val="minor"/>
    </font>
    <font>
      <sz val="11"/>
      <color theme="4"/>
      <name val="Calibri"/>
      <family val="2"/>
      <scheme val="minor"/>
    </font>
    <font>
      <b/>
      <i/>
      <sz val="24"/>
      <color theme="0"/>
      <name val="Calibri"/>
      <family val="2"/>
      <scheme val="minor"/>
    </font>
    <font>
      <b/>
      <i/>
      <sz val="10"/>
      <name val="Calibri"/>
      <family val="2"/>
      <scheme val="minor"/>
    </font>
    <font>
      <i/>
      <u/>
      <sz val="10"/>
      <name val="Calibri"/>
      <family val="2"/>
      <scheme val="minor"/>
    </font>
    <font>
      <i/>
      <u/>
      <sz val="11"/>
      <name val="Calibri"/>
      <family val="2"/>
      <scheme val="minor"/>
    </font>
    <font>
      <i/>
      <sz val="11"/>
      <color theme="1" tint="0.499984740745262"/>
      <name val="Calibri"/>
      <family val="2"/>
      <scheme val="minor"/>
    </font>
    <font>
      <sz val="11"/>
      <name val="Calibri"/>
      <family val="2"/>
    </font>
    <font>
      <sz val="12"/>
      <color theme="1" tint="0.249977111117893"/>
      <name val="Calibri"/>
      <family val="2"/>
      <scheme val="minor"/>
    </font>
    <font>
      <sz val="11"/>
      <color theme="4" tint="0.79998168889431442"/>
      <name val="Calibri"/>
      <family val="2"/>
      <scheme val="minor"/>
    </font>
    <font>
      <b/>
      <sz val="11"/>
      <color theme="4" tint="0.79998168889431442"/>
      <name val="Calibri"/>
      <family val="2"/>
      <scheme val="minor"/>
    </font>
    <font>
      <b/>
      <sz val="14"/>
      <color theme="0" tint="-0.249977111117893"/>
      <name val="Calibri"/>
      <family val="2"/>
      <scheme val="minor"/>
    </font>
    <font>
      <b/>
      <sz val="18"/>
      <name val="Calibri"/>
      <family val="2"/>
      <scheme val="minor"/>
    </font>
    <font>
      <b/>
      <sz val="18"/>
      <name val="Calibri"/>
      <family val="2"/>
    </font>
    <font>
      <b/>
      <i/>
      <sz val="18"/>
      <name val="Calibri"/>
      <family val="2"/>
      <scheme val="minor"/>
    </font>
    <font>
      <sz val="12"/>
      <name val="Calibri"/>
      <family val="2"/>
      <scheme val="minor"/>
    </font>
    <font>
      <sz val="9"/>
      <name val="Calibri"/>
      <family val="2"/>
    </font>
    <font>
      <sz val="9"/>
      <color theme="1" tint="0.34998626667073579"/>
      <name val="Calibri"/>
      <family val="2"/>
      <scheme val="minor"/>
    </font>
    <font>
      <b/>
      <sz val="16"/>
      <color theme="5"/>
      <name val="Calibri"/>
      <family val="2"/>
      <scheme val="minor"/>
    </font>
    <font>
      <b/>
      <i/>
      <sz val="11"/>
      <color rgb="FF507828"/>
      <name val="Calibri"/>
      <family val="2"/>
      <scheme val="minor"/>
    </font>
    <font>
      <b/>
      <i/>
      <sz val="11"/>
      <color rgb="FF507828"/>
      <name val="Calibri"/>
      <family val="2"/>
    </font>
    <font>
      <u/>
      <sz val="11"/>
      <color theme="10"/>
      <name val="Calibri"/>
      <family val="2"/>
      <scheme val="minor"/>
    </font>
    <font>
      <b/>
      <sz val="19"/>
      <color theme="1"/>
      <name val="Calibri"/>
      <family val="2"/>
      <scheme val="minor"/>
    </font>
    <font>
      <b/>
      <sz val="19"/>
      <name val="Calibri"/>
      <family val="2"/>
      <scheme val="minor"/>
    </font>
    <font>
      <sz val="19"/>
      <color theme="0"/>
      <name val="Calibri"/>
      <family val="2"/>
      <scheme val="minor"/>
    </font>
    <font>
      <b/>
      <sz val="11"/>
      <color rgb="FFFFFF00"/>
      <name val="Calibri"/>
      <family val="2"/>
      <scheme val="minor"/>
    </font>
    <font>
      <sz val="11"/>
      <color rgb="FFFFFF00"/>
      <name val="Calibri"/>
      <family val="2"/>
      <scheme val="minor"/>
    </font>
    <font>
      <b/>
      <sz val="10"/>
      <name val="Calibri"/>
      <family val="2"/>
    </font>
    <font>
      <sz val="11"/>
      <color rgb="FF0070C0"/>
      <name val="Calibri"/>
      <family val="2"/>
      <scheme val="minor"/>
    </font>
    <font>
      <sz val="11"/>
      <color rgb="FF960F32"/>
      <name val="Calibri"/>
      <family val="2"/>
      <scheme val="minor"/>
    </font>
    <font>
      <sz val="11"/>
      <color rgb="FFFAAFC8"/>
      <name val="Calibri"/>
      <family val="2"/>
      <scheme val="minor"/>
    </font>
    <font>
      <b/>
      <sz val="11"/>
      <color theme="0"/>
      <name val="Arial"/>
      <family val="2"/>
    </font>
    <font>
      <b/>
      <sz val="11"/>
      <color theme="0" tint="-0.34998626667073579"/>
      <name val="Calibri"/>
      <family val="2"/>
      <scheme val="minor"/>
    </font>
    <font>
      <b/>
      <i/>
      <sz val="11"/>
      <color rgb="FF0050A0"/>
      <name val="Calibri"/>
      <family val="2"/>
      <scheme val="minor"/>
    </font>
    <font>
      <b/>
      <sz val="20"/>
      <color rgb="FFFF0000"/>
      <name val="Calibri"/>
      <family val="2"/>
      <scheme val="minor"/>
    </font>
    <font>
      <b/>
      <sz val="10"/>
      <color rgb="FFFF0000"/>
      <name val="Calibri"/>
      <family val="2"/>
      <scheme val="minor"/>
    </font>
  </fonts>
  <fills count="5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0000"/>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FFF99"/>
        <bgColor indexed="64"/>
      </patternFill>
    </fill>
    <fill>
      <patternFill patternType="solid">
        <fgColor theme="3" tint="0.59999389629810485"/>
        <bgColor indexed="64"/>
      </patternFill>
    </fill>
    <fill>
      <patternFill patternType="solid">
        <fgColor theme="5"/>
        <bgColor indexed="64"/>
      </patternFill>
    </fill>
    <fill>
      <patternFill patternType="solid">
        <fgColor theme="6" tint="-0.499984740745262"/>
        <bgColor indexed="64"/>
      </patternFill>
    </fill>
    <fill>
      <patternFill patternType="solid">
        <fgColor theme="7"/>
        <bgColor indexed="64"/>
      </patternFill>
    </fill>
    <fill>
      <patternFill patternType="solid">
        <fgColor theme="8" tint="0.59999389629810485"/>
        <bgColor indexed="64"/>
      </patternFill>
    </fill>
    <fill>
      <patternFill patternType="solid">
        <fgColor rgb="FFFFFFFF"/>
        <bgColor indexed="64"/>
      </patternFill>
    </fill>
    <fill>
      <patternFill patternType="solid">
        <fgColor theme="0" tint="-0.249977111117893"/>
        <bgColor indexed="64"/>
      </patternFill>
    </fill>
    <fill>
      <patternFill patternType="solid">
        <fgColor rgb="FF006600"/>
        <bgColor indexed="64"/>
      </patternFill>
    </fill>
    <fill>
      <patternFill patternType="solid">
        <fgColor theme="4"/>
        <bgColor indexed="64"/>
      </patternFill>
    </fill>
    <fill>
      <patternFill patternType="solid">
        <fgColor theme="0" tint="-0.499984740745262"/>
        <bgColor indexed="64"/>
      </patternFill>
    </fill>
    <fill>
      <patternFill patternType="solid">
        <fgColor rgb="FFFF3300"/>
        <bgColor indexed="64"/>
      </patternFill>
    </fill>
    <fill>
      <patternFill patternType="solid">
        <fgColor rgb="FFFF6600"/>
        <bgColor indexed="64"/>
      </patternFill>
    </fill>
    <fill>
      <patternFill patternType="solid">
        <fgColor rgb="FFFF9933"/>
        <bgColor indexed="64"/>
      </patternFill>
    </fill>
    <fill>
      <patternFill patternType="solid">
        <fgColor rgb="FFFFCC00"/>
        <bgColor indexed="64"/>
      </patternFill>
    </fill>
    <fill>
      <patternFill patternType="solid">
        <fgColor theme="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66"/>
        <bgColor indexed="64"/>
      </patternFill>
    </fill>
    <fill>
      <patternFill patternType="solid">
        <fgColor rgb="FFFFFFCC"/>
        <bgColor indexed="64"/>
      </patternFill>
    </fill>
    <fill>
      <patternFill patternType="solid">
        <fgColor rgb="FFCCFFCC"/>
        <bgColor indexed="64"/>
      </patternFill>
    </fill>
    <fill>
      <patternFill patternType="solid">
        <fgColor theme="9" tint="-0.249977111117893"/>
        <bgColor indexed="64"/>
      </patternFill>
    </fill>
    <fill>
      <patternFill patternType="solid">
        <fgColor rgb="FF66FFCC"/>
        <bgColor indexed="64"/>
      </patternFill>
    </fill>
    <fill>
      <patternFill patternType="solid">
        <fgColor theme="1"/>
        <bgColor indexed="64"/>
      </patternFill>
    </fill>
    <fill>
      <patternFill patternType="solid">
        <fgColor theme="8"/>
        <bgColor indexed="64"/>
      </patternFill>
    </fill>
    <fill>
      <patternFill patternType="solid">
        <fgColor theme="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rgb="FF0050A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theme="0"/>
      </top>
      <bottom/>
      <diagonal/>
    </border>
    <border>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tint="-0.24994659260841701"/>
      </bottom>
      <diagonal/>
    </border>
    <border>
      <left style="thin">
        <color theme="0"/>
      </left>
      <right/>
      <top style="thin">
        <color theme="0"/>
      </top>
      <bottom style="thin">
        <color theme="0" tint="-0.24994659260841701"/>
      </bottom>
      <diagonal/>
    </border>
    <border>
      <left/>
      <right/>
      <top style="thin">
        <color theme="0"/>
      </top>
      <bottom style="thin">
        <color theme="0" tint="-0.24994659260841701"/>
      </bottom>
      <diagonal/>
    </border>
    <border>
      <left style="thin">
        <color theme="0"/>
      </left>
      <right style="thin">
        <color theme="0"/>
      </right>
      <top style="thin">
        <color theme="0" tint="-0.24994659260841701"/>
      </top>
      <bottom style="thin">
        <color theme="0" tint="-0.24994659260841701"/>
      </bottom>
      <diagonal/>
    </border>
    <border>
      <left style="thin">
        <color theme="0"/>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style="thin">
        <color theme="0" tint="-0.24994659260841701"/>
      </top>
      <bottom style="thin">
        <color theme="0"/>
      </bottom>
      <diagonal/>
    </border>
    <border>
      <left style="thin">
        <color theme="0"/>
      </left>
      <right/>
      <top style="thin">
        <color theme="0" tint="-0.24994659260841701"/>
      </top>
      <bottom style="thin">
        <color theme="0"/>
      </bottom>
      <diagonal/>
    </border>
    <border>
      <left/>
      <right/>
      <top style="thin">
        <color theme="0" tint="-0.24994659260841701"/>
      </top>
      <bottom style="thin">
        <color theme="0"/>
      </bottom>
      <diagonal/>
    </border>
    <border>
      <left/>
      <right/>
      <top/>
      <bottom style="double">
        <color rgb="FFFF8001"/>
      </bottom>
      <diagonal/>
    </border>
    <border>
      <left style="thin">
        <color indexed="64"/>
      </left>
      <right/>
      <top style="thin">
        <color auto="1"/>
      </top>
      <bottom style="thin">
        <color theme="0"/>
      </bottom>
      <diagonal/>
    </border>
    <border>
      <left/>
      <right/>
      <top style="thin">
        <color auto="1"/>
      </top>
      <bottom style="thin">
        <color theme="0"/>
      </bottom>
      <diagonal/>
    </border>
    <border>
      <left/>
      <right style="thin">
        <color indexed="64"/>
      </right>
      <top style="thin">
        <color auto="1"/>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s>
  <cellStyleXfs count="8">
    <xf numFmtId="0" fontId="0" fillId="0" borderId="0"/>
    <xf numFmtId="0" fontId="17" fillId="0" borderId="0" applyNumberFormat="0" applyFill="0" applyBorder="0" applyAlignment="0" applyProtection="0"/>
    <xf numFmtId="0" fontId="17" fillId="0" borderId="36" applyNumberFormat="0" applyFill="0" applyAlignment="0" applyProtection="0"/>
    <xf numFmtId="0" fontId="17" fillId="0" borderId="0" applyNumberFormat="0" applyFill="0" applyBorder="0" applyAlignment="0" applyProtection="0"/>
    <xf numFmtId="0" fontId="106" fillId="0" borderId="0" applyNumberFormat="0" applyFill="0" applyBorder="0" applyAlignment="0" applyProtection="0">
      <alignment vertical="top"/>
      <protection locked="0"/>
    </xf>
    <xf numFmtId="0" fontId="105" fillId="0" borderId="0" applyNumberFormat="0" applyFill="0" applyBorder="0" applyAlignment="0" applyProtection="0"/>
    <xf numFmtId="0" fontId="107" fillId="0" borderId="0" applyNumberFormat="0" applyFill="0" applyBorder="0" applyAlignment="0" applyProtection="0"/>
    <xf numFmtId="0" fontId="17" fillId="0" borderId="0" applyNumberFormat="0" applyFill="0" applyBorder="0" applyAlignment="0" applyProtection="0"/>
  </cellStyleXfs>
  <cellXfs count="1290">
    <xf numFmtId="0" fontId="0" fillId="0" borderId="0" xfId="0"/>
    <xf numFmtId="0" fontId="0" fillId="7" borderId="0" xfId="0" applyFill="1" applyProtection="1">
      <protection hidden="1"/>
    </xf>
    <xf numFmtId="0" fontId="0" fillId="12" borderId="0" xfId="0" applyFill="1" applyProtection="1">
      <protection hidden="1"/>
    </xf>
    <xf numFmtId="0" fontId="0" fillId="6" borderId="0" xfId="0" applyFill="1" applyProtection="1">
      <protection hidden="1"/>
    </xf>
    <xf numFmtId="0" fontId="0" fillId="7" borderId="0" xfId="0" applyFill="1" applyAlignment="1" applyProtection="1">
      <alignment horizontal="center"/>
      <protection hidden="1"/>
    </xf>
    <xf numFmtId="0" fontId="0" fillId="5" borderId="0" xfId="0" applyFill="1" applyProtection="1">
      <protection hidden="1"/>
    </xf>
    <xf numFmtId="0" fontId="5" fillId="2" borderId="4" xfId="0" applyFont="1" applyFill="1" applyBorder="1" applyAlignment="1" applyProtection="1">
      <alignment horizontal="center"/>
      <protection hidden="1"/>
    </xf>
    <xf numFmtId="20" fontId="5" fillId="2" borderId="4" xfId="0" applyNumberFormat="1" applyFont="1" applyFill="1" applyBorder="1" applyAlignment="1" applyProtection="1">
      <alignment horizontal="center"/>
      <protection hidden="1"/>
    </xf>
    <xf numFmtId="20" fontId="5" fillId="2" borderId="4" xfId="0" applyNumberFormat="1" applyFont="1" applyFill="1" applyBorder="1" applyAlignment="1" applyProtection="1">
      <alignment horizontal="right"/>
      <protection hidden="1"/>
    </xf>
    <xf numFmtId="0" fontId="7" fillId="2" borderId="0" xfId="0" applyFont="1" applyFill="1" applyProtection="1">
      <protection hidden="1"/>
    </xf>
    <xf numFmtId="0" fontId="0" fillId="5" borderId="0" xfId="0" applyFill="1" applyAlignment="1" applyProtection="1">
      <alignment horizontal="center"/>
      <protection hidden="1"/>
    </xf>
    <xf numFmtId="164" fontId="5" fillId="2" borderId="4" xfId="0" applyNumberFormat="1" applyFont="1" applyFill="1" applyBorder="1" applyAlignment="1" applyProtection="1">
      <alignment horizontal="center"/>
      <protection hidden="1"/>
    </xf>
    <xf numFmtId="0" fontId="0" fillId="2" borderId="4" xfId="0" applyFill="1" applyBorder="1" applyProtection="1">
      <protection hidden="1"/>
    </xf>
    <xf numFmtId="0" fontId="8" fillId="5" borderId="0" xfId="0" applyFont="1" applyFill="1" applyAlignment="1" applyProtection="1">
      <alignment horizontal="center"/>
      <protection hidden="1"/>
    </xf>
    <xf numFmtId="0" fontId="0" fillId="11" borderId="0" xfId="0" applyFill="1" applyAlignment="1" applyProtection="1">
      <alignment horizontal="right"/>
      <protection hidden="1"/>
    </xf>
    <xf numFmtId="0" fontId="0" fillId="3" borderId="0" xfId="0" applyFill="1" applyProtection="1">
      <protection hidden="1"/>
    </xf>
    <xf numFmtId="0" fontId="0" fillId="2" borderId="2" xfId="0" applyFill="1" applyBorder="1" applyProtection="1">
      <protection hidden="1"/>
    </xf>
    <xf numFmtId="0" fontId="0" fillId="2" borderId="0" xfId="0" applyFill="1" applyProtection="1">
      <protection hidden="1"/>
    </xf>
    <xf numFmtId="0" fontId="0" fillId="3" borderId="0" xfId="0" applyFill="1" applyAlignment="1" applyProtection="1">
      <alignment horizontal="center" wrapText="1"/>
      <protection hidden="1"/>
    </xf>
    <xf numFmtId="0" fontId="0" fillId="9" borderId="1" xfId="0" applyFill="1" applyBorder="1" applyAlignment="1" applyProtection="1">
      <alignment wrapText="1"/>
      <protection hidden="1"/>
    </xf>
    <xf numFmtId="0" fontId="0" fillId="10" borderId="1" xfId="0" applyFill="1" applyBorder="1" applyAlignment="1" applyProtection="1">
      <alignment wrapText="1"/>
      <protection hidden="1"/>
    </xf>
    <xf numFmtId="0" fontId="0" fillId="8" borderId="1" xfId="0" applyFill="1" applyBorder="1" applyProtection="1">
      <protection hidden="1"/>
    </xf>
    <xf numFmtId="0" fontId="1" fillId="14" borderId="0" xfId="0" applyFont="1" applyFill="1" applyAlignment="1" applyProtection="1">
      <alignment horizontal="center"/>
      <protection hidden="1"/>
    </xf>
    <xf numFmtId="0" fontId="2" fillId="14" borderId="0" xfId="0" applyFont="1" applyFill="1" applyProtection="1">
      <protection hidden="1"/>
    </xf>
    <xf numFmtId="0" fontId="0" fillId="2" borderId="0" xfId="0" applyFill="1" applyAlignment="1" applyProtection="1">
      <alignment horizontal="right" vertical="top"/>
      <protection hidden="1"/>
    </xf>
    <xf numFmtId="20" fontId="0" fillId="2" borderId="0" xfId="0" applyNumberFormat="1" applyFill="1" applyAlignment="1" applyProtection="1">
      <alignment horizontal="right" vertical="top" wrapText="1"/>
      <protection hidden="1"/>
    </xf>
    <xf numFmtId="0" fontId="0" fillId="2" borderId="0" xfId="0" applyFill="1" applyAlignment="1" applyProtection="1">
      <alignment horizontal="left" vertical="top" wrapText="1" indent="1"/>
      <protection hidden="1"/>
    </xf>
    <xf numFmtId="0" fontId="0" fillId="2" borderId="0" xfId="0" applyFill="1" applyAlignment="1" applyProtection="1">
      <alignment vertical="top"/>
      <protection hidden="1"/>
    </xf>
    <xf numFmtId="0" fontId="1" fillId="6" borderId="0" xfId="0" applyFont="1" applyFill="1" applyProtection="1">
      <protection hidden="1"/>
    </xf>
    <xf numFmtId="0" fontId="1" fillId="6" borderId="2" xfId="0" applyFont="1" applyFill="1" applyBorder="1" applyProtection="1">
      <protection hidden="1"/>
    </xf>
    <xf numFmtId="164" fontId="0" fillId="6" borderId="2" xfId="0" applyNumberFormat="1" applyFill="1" applyBorder="1" applyProtection="1">
      <protection hidden="1"/>
    </xf>
    <xf numFmtId="0" fontId="0" fillId="2" borderId="1" xfId="0" applyFill="1" applyBorder="1" applyAlignment="1" applyProtection="1">
      <alignment horizontal="center"/>
      <protection hidden="1"/>
    </xf>
    <xf numFmtId="0" fontId="0" fillId="13" borderId="0" xfId="0" applyFill="1" applyAlignment="1" applyProtection="1">
      <alignment horizontal="center"/>
      <protection hidden="1"/>
    </xf>
    <xf numFmtId="0" fontId="0" fillId="2" borderId="1" xfId="0" applyFill="1" applyBorder="1" applyAlignment="1" applyProtection="1">
      <alignment horizontal="center" vertical="center"/>
      <protection hidden="1"/>
    </xf>
    <xf numFmtId="164" fontId="0" fillId="4" borderId="0" xfId="0" applyNumberFormat="1" applyFill="1" applyProtection="1">
      <protection hidden="1"/>
    </xf>
    <xf numFmtId="17" fontId="0" fillId="4" borderId="0" xfId="0" applyNumberFormat="1" applyFill="1" applyProtection="1">
      <protection hidden="1"/>
    </xf>
    <xf numFmtId="14" fontId="0" fillId="4" borderId="0" xfId="0" applyNumberFormat="1" applyFill="1" applyProtection="1">
      <protection hidden="1"/>
    </xf>
    <xf numFmtId="0" fontId="0" fillId="14" borderId="0" xfId="0" applyFill="1" applyProtection="1">
      <protection hidden="1"/>
    </xf>
    <xf numFmtId="0" fontId="1" fillId="13" borderId="0" xfId="0" applyFont="1" applyFill="1" applyAlignment="1" applyProtection="1">
      <alignment horizontal="center"/>
      <protection hidden="1"/>
    </xf>
    <xf numFmtId="0" fontId="0" fillId="2" borderId="0" xfId="0" applyFill="1" applyAlignment="1" applyProtection="1">
      <alignment vertical="center"/>
      <protection hidden="1"/>
    </xf>
    <xf numFmtId="0" fontId="0" fillId="3" borderId="0" xfId="0" applyFill="1" applyAlignment="1" applyProtection="1">
      <alignment vertical="top" wrapText="1"/>
      <protection hidden="1"/>
    </xf>
    <xf numFmtId="0" fontId="0" fillId="12" borderId="0" xfId="0" applyFill="1" applyAlignment="1" applyProtection="1">
      <alignment horizontal="center"/>
      <protection hidden="1"/>
    </xf>
    <xf numFmtId="0" fontId="0" fillId="2" borderId="5" xfId="0" applyFill="1" applyBorder="1" applyAlignment="1" applyProtection="1">
      <alignment horizontal="center"/>
      <protection hidden="1"/>
    </xf>
    <xf numFmtId="0" fontId="0" fillId="11" borderId="0" xfId="0" applyFill="1" applyProtection="1">
      <protection hidden="1"/>
    </xf>
    <xf numFmtId="0" fontId="0" fillId="4" borderId="0" xfId="0" applyFill="1" applyProtection="1">
      <protection hidden="1"/>
    </xf>
    <xf numFmtId="0" fontId="1" fillId="7" borderId="0" xfId="0" applyFont="1" applyFill="1" applyProtection="1">
      <protection hidden="1"/>
    </xf>
    <xf numFmtId="0" fontId="1" fillId="2" borderId="0" xfId="0" applyFont="1" applyFill="1" applyProtection="1">
      <protection hidden="1"/>
    </xf>
    <xf numFmtId="0" fontId="0" fillId="4" borderId="0" xfId="0" applyFill="1" applyAlignment="1" applyProtection="1">
      <alignment horizontal="center"/>
      <protection hidden="1"/>
    </xf>
    <xf numFmtId="0" fontId="0" fillId="16" borderId="0" xfId="0" applyFill="1" applyProtection="1">
      <protection hidden="1"/>
    </xf>
    <xf numFmtId="0" fontId="2" fillId="13" borderId="0" xfId="0" applyFont="1" applyFill="1" applyProtection="1">
      <protection hidden="1"/>
    </xf>
    <xf numFmtId="0" fontId="0" fillId="5" borderId="2" xfId="0" applyFill="1" applyBorder="1" applyProtection="1">
      <protection hidden="1"/>
    </xf>
    <xf numFmtId="0" fontId="0" fillId="5" borderId="3" xfId="0" applyFill="1" applyBorder="1" applyProtection="1">
      <protection hidden="1"/>
    </xf>
    <xf numFmtId="0" fontId="5" fillId="16" borderId="1" xfId="0" applyFont="1" applyFill="1" applyBorder="1" applyAlignment="1" applyProtection="1">
      <alignment horizontal="center"/>
      <protection hidden="1"/>
    </xf>
    <xf numFmtId="0" fontId="0" fillId="5" borderId="3" xfId="0" applyFill="1" applyBorder="1" applyAlignment="1" applyProtection="1">
      <alignment horizontal="center"/>
      <protection hidden="1"/>
    </xf>
    <xf numFmtId="1" fontId="0" fillId="2" borderId="4" xfId="0" applyNumberFormat="1" applyFill="1" applyBorder="1" applyAlignment="1" applyProtection="1">
      <alignment horizontal="center"/>
      <protection hidden="1"/>
    </xf>
    <xf numFmtId="0" fontId="0" fillId="3" borderId="2" xfId="0" applyFill="1" applyBorder="1" applyProtection="1">
      <protection hidden="1"/>
    </xf>
    <xf numFmtId="0" fontId="0" fillId="3" borderId="3" xfId="0" applyFill="1" applyBorder="1" applyProtection="1">
      <protection hidden="1"/>
    </xf>
    <xf numFmtId="0" fontId="1" fillId="2" borderId="0" xfId="0" applyFont="1" applyFill="1" applyAlignment="1" applyProtection="1">
      <alignment horizontal="right"/>
      <protection hidden="1"/>
    </xf>
    <xf numFmtId="0" fontId="2" fillId="2" borderId="0" xfId="0" applyFont="1" applyFill="1" applyAlignment="1" applyProtection="1">
      <alignment horizontal="right"/>
      <protection hidden="1"/>
    </xf>
    <xf numFmtId="0" fontId="0" fillId="3" borderId="0" xfId="0" applyFill="1" applyAlignment="1" applyProtection="1">
      <alignment wrapText="1"/>
      <protection hidden="1"/>
    </xf>
    <xf numFmtId="0" fontId="0" fillId="2" borderId="12" xfId="0" applyFill="1" applyBorder="1" applyProtection="1">
      <protection hidden="1"/>
    </xf>
    <xf numFmtId="0" fontId="0" fillId="2" borderId="7" xfId="0" applyFill="1" applyBorder="1" applyAlignment="1" applyProtection="1">
      <alignment horizontal="center"/>
      <protection hidden="1"/>
    </xf>
    <xf numFmtId="0" fontId="0" fillId="10" borderId="2" xfId="0" applyFill="1" applyBorder="1" applyAlignment="1" applyProtection="1">
      <alignment horizontal="center"/>
      <protection hidden="1"/>
    </xf>
    <xf numFmtId="0" fontId="0" fillId="10" borderId="14" xfId="0" applyFill="1" applyBorder="1" applyProtection="1">
      <protection hidden="1"/>
    </xf>
    <xf numFmtId="0" fontId="0" fillId="10" borderId="0" xfId="0" applyFill="1" applyAlignment="1" applyProtection="1">
      <alignment horizontal="center"/>
      <protection hidden="1"/>
    </xf>
    <xf numFmtId="0" fontId="0" fillId="10" borderId="12" xfId="0" applyFill="1" applyBorder="1" applyProtection="1">
      <protection hidden="1"/>
    </xf>
    <xf numFmtId="0" fontId="0" fillId="10" borderId="3" xfId="0" applyFill="1" applyBorder="1" applyAlignment="1" applyProtection="1">
      <alignment horizontal="center"/>
      <protection hidden="1"/>
    </xf>
    <xf numFmtId="0" fontId="0" fillId="10" borderId="11" xfId="0" applyFill="1" applyBorder="1" applyProtection="1">
      <protection hidden="1"/>
    </xf>
    <xf numFmtId="0" fontId="0" fillId="5" borderId="0" xfId="0" applyFill="1" applyAlignment="1" applyProtection="1">
      <alignment horizontal="left"/>
      <protection hidden="1"/>
    </xf>
    <xf numFmtId="0" fontId="0" fillId="19" borderId="0" xfId="0" applyFill="1" applyAlignment="1" applyProtection="1">
      <alignment horizontal="center"/>
      <protection hidden="1"/>
    </xf>
    <xf numFmtId="0" fontId="0" fillId="19" borderId="0" xfId="0" applyFill="1" applyProtection="1">
      <protection hidden="1"/>
    </xf>
    <xf numFmtId="0" fontId="1" fillId="6" borderId="0" xfId="0" applyFont="1" applyFill="1" applyAlignment="1" applyProtection="1">
      <alignment horizontal="left"/>
      <protection hidden="1"/>
    </xf>
    <xf numFmtId="0" fontId="0" fillId="20" borderId="0" xfId="0" applyFill="1" applyProtection="1">
      <protection hidden="1"/>
    </xf>
    <xf numFmtId="0" fontId="0" fillId="6" borderId="12" xfId="0" applyFill="1" applyBorder="1" applyProtection="1">
      <protection hidden="1"/>
    </xf>
    <xf numFmtId="0" fontId="0" fillId="6" borderId="8" xfId="0" applyFill="1" applyBorder="1" applyProtection="1">
      <protection hidden="1"/>
    </xf>
    <xf numFmtId="0" fontId="0" fillId="21" borderId="0" xfId="0" applyFill="1" applyProtection="1">
      <protection hidden="1"/>
    </xf>
    <xf numFmtId="0" fontId="5" fillId="13" borderId="0" xfId="0" applyFont="1" applyFill="1" applyAlignment="1" applyProtection="1">
      <alignment horizontal="center"/>
      <protection hidden="1"/>
    </xf>
    <xf numFmtId="0" fontId="11" fillId="2" borderId="0" xfId="0" applyFont="1" applyFill="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17" borderId="0" xfId="0" applyFill="1" applyAlignment="1" applyProtection="1">
      <alignment horizontal="center"/>
      <protection hidden="1"/>
    </xf>
    <xf numFmtId="0" fontId="0" fillId="6" borderId="3" xfId="0" applyFill="1" applyBorder="1" applyProtection="1">
      <protection hidden="1"/>
    </xf>
    <xf numFmtId="0" fontId="0" fillId="6" borderId="2" xfId="0" applyFill="1" applyBorder="1" applyProtection="1">
      <protection hidden="1"/>
    </xf>
    <xf numFmtId="0" fontId="0" fillId="6" borderId="11" xfId="0" applyFill="1" applyBorder="1" applyProtection="1">
      <protection hidden="1"/>
    </xf>
    <xf numFmtId="0" fontId="11" fillId="15" borderId="0" xfId="0" applyFont="1" applyFill="1" applyProtection="1">
      <protection hidden="1"/>
    </xf>
    <xf numFmtId="0" fontId="0" fillId="5" borderId="8" xfId="0" applyFill="1" applyBorder="1" applyProtection="1">
      <protection hidden="1"/>
    </xf>
    <xf numFmtId="0" fontId="0" fillId="23" borderId="8" xfId="0" applyFill="1" applyBorder="1" applyAlignment="1" applyProtection="1">
      <alignment horizontal="center"/>
      <protection hidden="1"/>
    </xf>
    <xf numFmtId="0" fontId="0" fillId="3" borderId="13" xfId="0" applyFill="1" applyBorder="1" applyProtection="1">
      <protection hidden="1"/>
    </xf>
    <xf numFmtId="0" fontId="0" fillId="8" borderId="0" xfId="0" applyFill="1" applyProtection="1">
      <protection hidden="1"/>
    </xf>
    <xf numFmtId="0" fontId="0" fillId="21" borderId="0" xfId="0" applyFill="1" applyAlignment="1" applyProtection="1">
      <alignment horizontal="center"/>
      <protection hidden="1"/>
    </xf>
    <xf numFmtId="0" fontId="0" fillId="24" borderId="0" xfId="0" applyFill="1" applyProtection="1">
      <protection hidden="1"/>
    </xf>
    <xf numFmtId="0" fontId="0" fillId="11" borderId="0" xfId="0" applyFill="1" applyAlignment="1" applyProtection="1">
      <alignment horizontal="center"/>
      <protection hidden="1"/>
    </xf>
    <xf numFmtId="0" fontId="22" fillId="2" borderId="0" xfId="0" applyFont="1" applyFill="1" applyAlignment="1" applyProtection="1">
      <alignment horizontal="left" indent="1"/>
      <protection locked="0" hidden="1"/>
    </xf>
    <xf numFmtId="0" fontId="22" fillId="4" borderId="0" xfId="0" applyFont="1" applyFill="1" applyProtection="1">
      <protection hidden="1"/>
    </xf>
    <xf numFmtId="3" fontId="0" fillId="2" borderId="0" xfId="0" applyNumberFormat="1" applyFill="1" applyAlignment="1" applyProtection="1">
      <alignment horizontal="center"/>
      <protection hidden="1"/>
    </xf>
    <xf numFmtId="0" fontId="18" fillId="2" borderId="3" xfId="0" applyFont="1" applyFill="1" applyBorder="1" applyProtection="1">
      <protection hidden="1"/>
    </xf>
    <xf numFmtId="0" fontId="9" fillId="5" borderId="0" xfId="0" applyFont="1" applyFill="1" applyAlignment="1" applyProtection="1">
      <alignment horizontal="center"/>
      <protection hidden="1"/>
    </xf>
    <xf numFmtId="0" fontId="0" fillId="6" borderId="0" xfId="0" applyFill="1" applyAlignment="1" applyProtection="1">
      <alignment horizontal="right"/>
      <protection hidden="1"/>
    </xf>
    <xf numFmtId="0" fontId="20" fillId="4" borderId="0" xfId="0" applyFont="1" applyFill="1" applyProtection="1">
      <protection hidden="1"/>
    </xf>
    <xf numFmtId="0" fontId="4" fillId="6" borderId="2" xfId="0" applyFont="1" applyFill="1" applyBorder="1" applyProtection="1">
      <protection hidden="1"/>
    </xf>
    <xf numFmtId="0" fontId="2" fillId="6" borderId="2" xfId="0" applyFont="1" applyFill="1" applyBorder="1" applyAlignment="1" applyProtection="1">
      <alignment horizontal="right" vertical="center"/>
      <protection hidden="1"/>
    </xf>
    <xf numFmtId="0" fontId="12" fillId="6" borderId="8" xfId="0" applyFont="1" applyFill="1" applyBorder="1" applyAlignment="1" applyProtection="1">
      <alignment horizontal="center"/>
      <protection hidden="1"/>
    </xf>
    <xf numFmtId="0" fontId="0" fillId="6" borderId="0" xfId="0" applyFill="1" applyAlignment="1" applyProtection="1">
      <alignment horizontal="left"/>
      <protection hidden="1"/>
    </xf>
    <xf numFmtId="14" fontId="0" fillId="6" borderId="0" xfId="0" applyNumberFormat="1" applyFill="1" applyProtection="1">
      <protection hidden="1"/>
    </xf>
    <xf numFmtId="0" fontId="12" fillId="6" borderId="15" xfId="0" applyFont="1" applyFill="1" applyBorder="1" applyAlignment="1" applyProtection="1">
      <alignment horizontal="center"/>
      <protection hidden="1"/>
    </xf>
    <xf numFmtId="0" fontId="22" fillId="2" borderId="0" xfId="0" applyFont="1" applyFill="1" applyAlignment="1" applyProtection="1">
      <alignment horizontal="left" indent="1"/>
      <protection hidden="1"/>
    </xf>
    <xf numFmtId="0" fontId="11" fillId="12" borderId="0" xfId="0" applyFont="1" applyFill="1" applyAlignment="1" applyProtection="1">
      <alignment horizontal="center"/>
      <protection hidden="1"/>
    </xf>
    <xf numFmtId="0" fontId="0" fillId="2" borderId="3" xfId="0" applyFill="1" applyBorder="1" applyProtection="1">
      <protection hidden="1"/>
    </xf>
    <xf numFmtId="0" fontId="0" fillId="23" borderId="15" xfId="0" applyFill="1" applyBorder="1" applyAlignment="1" applyProtection="1">
      <alignment horizontal="center"/>
      <protection hidden="1"/>
    </xf>
    <xf numFmtId="0" fontId="1" fillId="2" borderId="1" xfId="0" applyFont="1" applyFill="1" applyBorder="1" applyAlignment="1" applyProtection="1">
      <alignment horizontal="center" vertical="center"/>
      <protection hidden="1"/>
    </xf>
    <xf numFmtId="0" fontId="0" fillId="19" borderId="8" xfId="0" applyFill="1" applyBorder="1" applyAlignment="1" applyProtection="1">
      <alignment horizontal="center"/>
      <protection hidden="1"/>
    </xf>
    <xf numFmtId="0" fontId="2" fillId="5" borderId="0" xfId="0" applyFont="1" applyFill="1" applyAlignment="1" applyProtection="1">
      <alignment horizontal="center"/>
      <protection hidden="1"/>
    </xf>
    <xf numFmtId="0" fontId="19" fillId="4" borderId="0" xfId="0" applyFont="1" applyFill="1" applyProtection="1">
      <protection hidden="1"/>
    </xf>
    <xf numFmtId="0" fontId="1" fillId="6" borderId="0" xfId="0" applyFont="1" applyFill="1" applyAlignment="1" applyProtection="1">
      <alignment horizontal="center"/>
      <protection hidden="1"/>
    </xf>
    <xf numFmtId="0" fontId="0" fillId="14" borderId="3" xfId="0" applyFill="1" applyBorder="1" applyProtection="1">
      <protection hidden="1"/>
    </xf>
    <xf numFmtId="0" fontId="2" fillId="14" borderId="3" xfId="0" applyFont="1" applyFill="1" applyBorder="1" applyProtection="1">
      <protection hidden="1"/>
    </xf>
    <xf numFmtId="0" fontId="25" fillId="2" borderId="0" xfId="0" applyFont="1" applyFill="1" applyAlignment="1" applyProtection="1">
      <alignment vertical="center"/>
      <protection hidden="1"/>
    </xf>
    <xf numFmtId="0" fontId="0" fillId="6" borderId="0" xfId="0" applyFill="1" applyAlignment="1" applyProtection="1">
      <alignment horizontal="center"/>
      <protection hidden="1"/>
    </xf>
    <xf numFmtId="0" fontId="0" fillId="6" borderId="12" xfId="0" applyFill="1" applyBorder="1" applyAlignment="1" applyProtection="1">
      <alignment horizontal="center"/>
      <protection hidden="1"/>
    </xf>
    <xf numFmtId="0" fontId="16" fillId="15" borderId="12" xfId="0" applyFont="1" applyFill="1" applyBorder="1" applyAlignment="1" applyProtection="1">
      <alignment horizontal="right"/>
      <protection hidden="1"/>
    </xf>
    <xf numFmtId="0" fontId="12" fillId="6" borderId="0" xfId="0" applyFont="1" applyFill="1" applyAlignment="1" applyProtection="1">
      <alignment horizontal="center"/>
      <protection hidden="1"/>
    </xf>
    <xf numFmtId="0" fontId="12" fillId="6" borderId="11" xfId="0" applyFont="1" applyFill="1" applyBorder="1" applyAlignment="1" applyProtection="1">
      <alignment horizontal="center"/>
      <protection hidden="1"/>
    </xf>
    <xf numFmtId="0" fontId="12" fillId="6" borderId="0" xfId="0" applyFont="1" applyFill="1" applyAlignment="1" applyProtection="1">
      <alignment horizontal="center" vertical="center"/>
      <protection hidden="1"/>
    </xf>
    <xf numFmtId="0" fontId="0" fillId="2" borderId="7" xfId="0" applyFill="1" applyBorder="1" applyAlignment="1" applyProtection="1">
      <alignment horizontal="left"/>
      <protection hidden="1"/>
    </xf>
    <xf numFmtId="0" fontId="11" fillId="6" borderId="8" xfId="0" applyFont="1" applyFill="1" applyBorder="1" applyProtection="1">
      <protection hidden="1"/>
    </xf>
    <xf numFmtId="0" fontId="0" fillId="6" borderId="2" xfId="0" applyFill="1" applyBorder="1" applyAlignment="1" applyProtection="1">
      <alignment horizontal="left"/>
      <protection hidden="1"/>
    </xf>
    <xf numFmtId="0" fontId="0" fillId="6" borderId="4" xfId="0" applyFill="1" applyBorder="1" applyAlignment="1" applyProtection="1">
      <alignment horizontal="left"/>
      <protection hidden="1"/>
    </xf>
    <xf numFmtId="0" fontId="0" fillId="23" borderId="14" xfId="0" applyFill="1" applyBorder="1" applyProtection="1">
      <protection hidden="1"/>
    </xf>
    <xf numFmtId="0" fontId="0" fillId="23" borderId="0" xfId="0" applyFill="1" applyAlignment="1" applyProtection="1">
      <alignment horizontal="left"/>
      <protection hidden="1"/>
    </xf>
    <xf numFmtId="0" fontId="0" fillId="23" borderId="12" xfId="0" applyFill="1" applyBorder="1" applyProtection="1">
      <protection hidden="1"/>
    </xf>
    <xf numFmtId="0" fontId="0" fillId="23" borderId="3" xfId="0" applyFill="1" applyBorder="1" applyAlignment="1" applyProtection="1">
      <alignment horizontal="left"/>
      <protection hidden="1"/>
    </xf>
    <xf numFmtId="0" fontId="0" fillId="23" borderId="11" xfId="0" applyFill="1" applyBorder="1" applyProtection="1">
      <protection hidden="1"/>
    </xf>
    <xf numFmtId="0" fontId="32" fillId="23" borderId="2" xfId="0" applyFont="1" applyFill="1" applyBorder="1" applyAlignment="1" applyProtection="1">
      <alignment horizontal="left" vertical="center"/>
      <protection hidden="1"/>
    </xf>
    <xf numFmtId="0" fontId="4" fillId="23" borderId="13" xfId="0" applyFont="1" applyFill="1" applyBorder="1" applyAlignment="1" applyProtection="1">
      <alignment horizontal="center" vertical="center"/>
      <protection hidden="1"/>
    </xf>
    <xf numFmtId="165" fontId="5" fillId="2" borderId="4" xfId="0" applyNumberFormat="1" applyFont="1" applyFill="1" applyBorder="1" applyAlignment="1" applyProtection="1">
      <alignment horizontal="center"/>
      <protection hidden="1"/>
    </xf>
    <xf numFmtId="0" fontId="0" fillId="5" borderId="13" xfId="0" applyFill="1" applyBorder="1" applyProtection="1">
      <protection hidden="1"/>
    </xf>
    <xf numFmtId="0" fontId="0" fillId="5" borderId="15" xfId="0" applyFill="1" applyBorder="1" applyProtection="1">
      <protection hidden="1"/>
    </xf>
    <xf numFmtId="0" fontId="2" fillId="5" borderId="2" xfId="0" applyFont="1" applyFill="1" applyBorder="1" applyProtection="1">
      <protection hidden="1"/>
    </xf>
    <xf numFmtId="0" fontId="1" fillId="7" borderId="0" xfId="0" applyFont="1" applyFill="1" applyAlignment="1" applyProtection="1">
      <alignment horizontal="center"/>
      <protection hidden="1"/>
    </xf>
    <xf numFmtId="0" fontId="0" fillId="24" borderId="0" xfId="0" applyFill="1" applyAlignment="1" applyProtection="1">
      <alignment horizontal="center"/>
      <protection hidden="1"/>
    </xf>
    <xf numFmtId="0" fontId="33" fillId="2" borderId="0" xfId="0" applyFont="1" applyFill="1" applyProtection="1">
      <protection hidden="1"/>
    </xf>
    <xf numFmtId="0" fontId="3" fillId="7" borderId="0" xfId="0" applyFont="1" applyFill="1" applyAlignment="1" applyProtection="1">
      <alignment horizontal="center"/>
      <protection hidden="1"/>
    </xf>
    <xf numFmtId="0" fontId="0" fillId="18" borderId="0" xfId="0" applyFill="1" applyAlignment="1" applyProtection="1">
      <alignment horizontal="center"/>
      <protection hidden="1"/>
    </xf>
    <xf numFmtId="0" fontId="0" fillId="28" borderId="0" xfId="0" applyFill="1" applyAlignment="1" applyProtection="1">
      <alignment horizontal="center"/>
      <protection hidden="1"/>
    </xf>
    <xf numFmtId="0" fontId="0" fillId="27" borderId="0" xfId="0" applyFill="1" applyAlignment="1" applyProtection="1">
      <alignment horizontal="center"/>
      <protection hidden="1"/>
    </xf>
    <xf numFmtId="0" fontId="0" fillId="19" borderId="7" xfId="0" applyFill="1" applyBorder="1" applyAlignment="1" applyProtection="1">
      <alignment horizontal="center"/>
      <protection hidden="1"/>
    </xf>
    <xf numFmtId="0" fontId="0" fillId="19" borderId="3" xfId="0" applyFill="1" applyBorder="1" applyAlignment="1" applyProtection="1">
      <alignment horizontal="center"/>
      <protection hidden="1"/>
    </xf>
    <xf numFmtId="1" fontId="0" fillId="19" borderId="11" xfId="0" applyNumberFormat="1" applyFill="1" applyBorder="1" applyAlignment="1" applyProtection="1">
      <alignment horizontal="center"/>
      <protection hidden="1"/>
    </xf>
    <xf numFmtId="1" fontId="0" fillId="19" borderId="7" xfId="0" applyNumberFormat="1" applyFill="1" applyBorder="1" applyAlignment="1" applyProtection="1">
      <alignment horizontal="center"/>
      <protection hidden="1"/>
    </xf>
    <xf numFmtId="0" fontId="0" fillId="19" borderId="15" xfId="0" applyFill="1" applyBorder="1" applyAlignment="1" applyProtection="1">
      <alignment horizontal="center"/>
      <protection hidden="1"/>
    </xf>
    <xf numFmtId="0" fontId="0" fillId="19" borderId="7" xfId="0" applyFill="1" applyBorder="1" applyProtection="1">
      <protection hidden="1"/>
    </xf>
    <xf numFmtId="0" fontId="0" fillId="19" borderId="6" xfId="0" applyFill="1" applyBorder="1" applyAlignment="1" applyProtection="1">
      <alignment horizontal="center"/>
      <protection hidden="1"/>
    </xf>
    <xf numFmtId="1" fontId="0" fillId="19" borderId="12" xfId="0" applyNumberFormat="1" applyFill="1" applyBorder="1" applyAlignment="1" applyProtection="1">
      <alignment horizontal="center"/>
      <protection hidden="1"/>
    </xf>
    <xf numFmtId="1" fontId="0" fillId="19" borderId="6" xfId="0" applyNumberFormat="1" applyFill="1" applyBorder="1" applyAlignment="1" applyProtection="1">
      <alignment horizontal="center"/>
      <protection hidden="1"/>
    </xf>
    <xf numFmtId="0" fontId="0" fillId="19" borderId="6" xfId="0" applyFill="1" applyBorder="1" applyProtection="1">
      <protection hidden="1"/>
    </xf>
    <xf numFmtId="0" fontId="0" fillId="19" borderId="5" xfId="0" applyFill="1" applyBorder="1" applyAlignment="1" applyProtection="1">
      <alignment horizontal="center"/>
      <protection hidden="1"/>
    </xf>
    <xf numFmtId="0" fontId="0" fillId="19" borderId="2" xfId="0" applyFill="1" applyBorder="1" applyAlignment="1" applyProtection="1">
      <alignment horizontal="center"/>
      <protection hidden="1"/>
    </xf>
    <xf numFmtId="1" fontId="0" fillId="19" borderId="14" xfId="0" applyNumberFormat="1" applyFill="1" applyBorder="1" applyAlignment="1" applyProtection="1">
      <alignment horizontal="center"/>
      <protection hidden="1"/>
    </xf>
    <xf numFmtId="1" fontId="0" fillId="19" borderId="5" xfId="0" applyNumberFormat="1" applyFill="1" applyBorder="1" applyAlignment="1" applyProtection="1">
      <alignment horizontal="center"/>
      <protection hidden="1"/>
    </xf>
    <xf numFmtId="0" fontId="0" fillId="19" borderId="13" xfId="0" applyFill="1" applyBorder="1" applyAlignment="1" applyProtection="1">
      <alignment horizontal="center"/>
      <protection hidden="1"/>
    </xf>
    <xf numFmtId="0" fontId="0" fillId="19" borderId="5" xfId="0" applyFill="1" applyBorder="1" applyProtection="1">
      <protection hidden="1"/>
    </xf>
    <xf numFmtId="0" fontId="1" fillId="19" borderId="0" xfId="0" applyFont="1" applyFill="1" applyProtection="1">
      <protection hidden="1"/>
    </xf>
    <xf numFmtId="0" fontId="1" fillId="27" borderId="0" xfId="0" applyFont="1" applyFill="1" applyAlignment="1" applyProtection="1">
      <alignment horizontal="center"/>
      <protection hidden="1"/>
    </xf>
    <xf numFmtId="1" fontId="0" fillId="19" borderId="0" xfId="0" applyNumberFormat="1" applyFill="1" applyAlignment="1" applyProtection="1">
      <alignment horizontal="center"/>
      <protection hidden="1"/>
    </xf>
    <xf numFmtId="0" fontId="1" fillId="4" borderId="0" xfId="0" applyFont="1" applyFill="1" applyProtection="1">
      <protection hidden="1"/>
    </xf>
    <xf numFmtId="0" fontId="0" fillId="21" borderId="0" xfId="0" applyFill="1" applyAlignment="1" applyProtection="1">
      <alignment horizontal="right" indent="1"/>
      <protection hidden="1"/>
    </xf>
    <xf numFmtId="0" fontId="0" fillId="4" borderId="0" xfId="0" applyFill="1" applyAlignment="1" applyProtection="1">
      <alignment vertical="center"/>
      <protection hidden="1"/>
    </xf>
    <xf numFmtId="0" fontId="0" fillId="19" borderId="0" xfId="0" applyFill="1" applyAlignment="1" applyProtection="1">
      <alignment vertical="center"/>
      <protection hidden="1"/>
    </xf>
    <xf numFmtId="0" fontId="0" fillId="19" borderId="0" xfId="0" applyFill="1" applyAlignment="1" applyProtection="1">
      <alignment horizontal="center" vertical="center"/>
      <protection hidden="1"/>
    </xf>
    <xf numFmtId="0" fontId="0" fillId="19" borderId="0" xfId="0" applyFill="1" applyAlignment="1" applyProtection="1">
      <alignment horizontal="center" vertical="center" textRotation="90"/>
      <protection hidden="1"/>
    </xf>
    <xf numFmtId="0" fontId="29" fillId="2" borderId="0" xfId="0" applyFont="1" applyFill="1" applyAlignment="1" applyProtection="1">
      <alignment horizontal="right"/>
      <protection hidden="1"/>
    </xf>
    <xf numFmtId="0" fontId="14" fillId="19" borderId="0" xfId="0" applyFont="1" applyFill="1" applyAlignment="1" applyProtection="1">
      <alignment horizontal="center"/>
      <protection hidden="1"/>
    </xf>
    <xf numFmtId="0" fontId="0" fillId="4" borderId="0" xfId="0" applyFill="1" applyAlignment="1" applyProtection="1">
      <alignment horizontal="left"/>
      <protection hidden="1"/>
    </xf>
    <xf numFmtId="0" fontId="0" fillId="4" borderId="0" xfId="0" applyFill="1" applyAlignment="1" applyProtection="1">
      <alignment horizontal="center" vertical="center"/>
      <protection hidden="1"/>
    </xf>
    <xf numFmtId="0" fontId="1" fillId="24" borderId="0" xfId="0" applyFont="1" applyFill="1" applyAlignment="1" applyProtection="1">
      <alignment horizontal="center"/>
      <protection locked="0" hidden="1"/>
    </xf>
    <xf numFmtId="0" fontId="1" fillId="24" borderId="0" xfId="0" applyFont="1" applyFill="1" applyProtection="1">
      <protection hidden="1"/>
    </xf>
    <xf numFmtId="0" fontId="9" fillId="2" borderId="0" xfId="0" applyFont="1" applyFill="1" applyAlignment="1" applyProtection="1">
      <alignment horizontal="right"/>
      <protection hidden="1"/>
    </xf>
    <xf numFmtId="0" fontId="35" fillId="2" borderId="0" xfId="0" applyFont="1" applyFill="1" applyAlignment="1" applyProtection="1">
      <alignment horizontal="right" vertical="top" indent="2"/>
      <protection hidden="1"/>
    </xf>
    <xf numFmtId="0" fontId="4" fillId="11" borderId="0" xfId="0" applyFont="1" applyFill="1" applyProtection="1">
      <protection hidden="1"/>
    </xf>
    <xf numFmtId="0" fontId="0" fillId="11" borderId="2" xfId="0" applyFill="1" applyBorder="1" applyAlignment="1" applyProtection="1">
      <alignment horizontal="center"/>
      <protection hidden="1"/>
    </xf>
    <xf numFmtId="0" fontId="4" fillId="11" borderId="0" xfId="0" applyFont="1" applyFill="1" applyAlignment="1" applyProtection="1">
      <alignment horizontal="center"/>
      <protection hidden="1"/>
    </xf>
    <xf numFmtId="0" fontId="0" fillId="11" borderId="10" xfId="0" applyFill="1" applyBorder="1" applyAlignment="1" applyProtection="1">
      <alignment horizontal="center"/>
      <protection hidden="1"/>
    </xf>
    <xf numFmtId="12" fontId="0" fillId="19" borderId="0" xfId="0" applyNumberFormat="1" applyFill="1" applyAlignment="1" applyProtection="1">
      <alignment vertical="center"/>
      <protection hidden="1"/>
    </xf>
    <xf numFmtId="0" fontId="2" fillId="31" borderId="0" xfId="0" applyFont="1" applyFill="1" applyProtection="1">
      <protection hidden="1"/>
    </xf>
    <xf numFmtId="0" fontId="1" fillId="5" borderId="0" xfId="0" applyFont="1" applyFill="1" applyProtection="1">
      <protection hidden="1"/>
    </xf>
    <xf numFmtId="0" fontId="1" fillId="31" borderId="0" xfId="0" applyFont="1" applyFill="1" applyAlignment="1" applyProtection="1">
      <alignment horizontal="center"/>
      <protection hidden="1"/>
    </xf>
    <xf numFmtId="0" fontId="0" fillId="28" borderId="0" xfId="0" applyFill="1" applyAlignment="1" applyProtection="1">
      <alignment horizontal="left"/>
      <protection hidden="1"/>
    </xf>
    <xf numFmtId="0" fontId="1" fillId="28" borderId="0" xfId="0" applyFont="1" applyFill="1" applyAlignment="1" applyProtection="1">
      <alignment horizontal="left"/>
      <protection hidden="1"/>
    </xf>
    <xf numFmtId="0" fontId="0" fillId="32" borderId="0" xfId="0" applyFill="1" applyProtection="1">
      <protection hidden="1"/>
    </xf>
    <xf numFmtId="0" fontId="0" fillId="32" borderId="0" xfId="0" applyFill="1" applyAlignment="1" applyProtection="1">
      <alignment horizontal="center"/>
      <protection hidden="1"/>
    </xf>
    <xf numFmtId="0" fontId="1" fillId="32" borderId="0" xfId="0" applyFont="1" applyFill="1" applyAlignment="1" applyProtection="1">
      <alignment horizontal="center"/>
      <protection hidden="1"/>
    </xf>
    <xf numFmtId="0" fontId="1" fillId="32" borderId="0" xfId="0" applyFont="1" applyFill="1" applyAlignment="1" applyProtection="1">
      <alignment horizontal="left"/>
      <protection hidden="1"/>
    </xf>
    <xf numFmtId="0" fontId="19" fillId="2" borderId="0" xfId="0" applyFont="1" applyFill="1" applyProtection="1">
      <protection hidden="1"/>
    </xf>
    <xf numFmtId="0" fontId="16"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12" fillId="27" borderId="0" xfId="0" applyFont="1" applyFill="1" applyAlignment="1" applyProtection="1">
      <alignment horizontal="center"/>
      <protection hidden="1"/>
    </xf>
    <xf numFmtId="0" fontId="20" fillId="27" borderId="0" xfId="0" applyFont="1" applyFill="1" applyAlignment="1" applyProtection="1">
      <alignment horizontal="left" indent="1"/>
      <protection hidden="1"/>
    </xf>
    <xf numFmtId="0" fontId="0" fillId="21" borderId="0" xfId="0" applyFill="1" applyAlignment="1" applyProtection="1">
      <alignment horizontal="right"/>
      <protection hidden="1"/>
    </xf>
    <xf numFmtId="0" fontId="0" fillId="21" borderId="0" xfId="0" applyFill="1" applyAlignment="1" applyProtection="1">
      <alignment horizontal="left"/>
      <protection hidden="1"/>
    </xf>
    <xf numFmtId="0" fontId="0" fillId="19" borderId="14" xfId="0" applyFill="1" applyBorder="1" applyAlignment="1" applyProtection="1">
      <alignment horizontal="center"/>
      <protection hidden="1"/>
    </xf>
    <xf numFmtId="0" fontId="0" fillId="19" borderId="12" xfId="0" applyFill="1" applyBorder="1" applyAlignment="1" applyProtection="1">
      <alignment horizontal="center"/>
      <protection hidden="1"/>
    </xf>
    <xf numFmtId="0" fontId="12" fillId="19" borderId="11" xfId="0" applyFont="1" applyFill="1" applyBorder="1" applyAlignment="1" applyProtection="1">
      <alignment horizontal="center"/>
      <protection hidden="1"/>
    </xf>
    <xf numFmtId="0" fontId="12" fillId="19" borderId="0" xfId="0" applyFont="1" applyFill="1" applyAlignment="1" applyProtection="1">
      <alignment horizontal="center"/>
      <protection hidden="1"/>
    </xf>
    <xf numFmtId="0" fontId="12" fillId="19" borderId="13" xfId="0" applyFont="1" applyFill="1" applyBorder="1" applyAlignment="1" applyProtection="1">
      <alignment horizontal="center"/>
      <protection hidden="1"/>
    </xf>
    <xf numFmtId="0" fontId="7" fillId="19" borderId="2" xfId="0" applyFont="1" applyFill="1" applyBorder="1" applyAlignment="1" applyProtection="1">
      <alignment textRotation="90"/>
      <protection hidden="1"/>
    </xf>
    <xf numFmtId="0" fontId="7" fillId="19" borderId="0" xfId="0" applyFont="1" applyFill="1" applyAlignment="1" applyProtection="1">
      <alignment textRotation="90"/>
      <protection hidden="1"/>
    </xf>
    <xf numFmtId="1" fontId="0" fillId="19" borderId="2" xfId="0" applyNumberFormat="1" applyFill="1" applyBorder="1" applyAlignment="1" applyProtection="1">
      <alignment horizontal="center"/>
      <protection hidden="1"/>
    </xf>
    <xf numFmtId="1" fontId="0" fillId="19" borderId="8" xfId="0" applyNumberFormat="1" applyFill="1" applyBorder="1" applyAlignment="1" applyProtection="1">
      <alignment horizontal="center"/>
      <protection hidden="1"/>
    </xf>
    <xf numFmtId="1" fontId="0" fillId="19" borderId="15" xfId="0" applyNumberFormat="1" applyFill="1" applyBorder="1" applyAlignment="1" applyProtection="1">
      <alignment horizontal="center"/>
      <protection hidden="1"/>
    </xf>
    <xf numFmtId="1" fontId="0" fillId="19" borderId="3" xfId="0" applyNumberFormat="1" applyFill="1" applyBorder="1" applyAlignment="1" applyProtection="1">
      <alignment horizontal="center"/>
      <protection hidden="1"/>
    </xf>
    <xf numFmtId="0" fontId="12" fillId="19" borderId="3" xfId="0" applyFont="1" applyFill="1" applyBorder="1" applyAlignment="1" applyProtection="1">
      <alignment horizontal="center"/>
      <protection hidden="1"/>
    </xf>
    <xf numFmtId="1" fontId="0" fillId="19" borderId="5" xfId="0" applyNumberFormat="1" applyFill="1" applyBorder="1" applyAlignment="1" applyProtection="1">
      <alignment horizontal="right"/>
      <protection hidden="1"/>
    </xf>
    <xf numFmtId="1" fontId="0" fillId="19" borderId="6" xfId="0" applyNumberFormat="1" applyFill="1" applyBorder="1" applyAlignment="1" applyProtection="1">
      <alignment horizontal="right"/>
      <protection hidden="1"/>
    </xf>
    <xf numFmtId="1" fontId="0" fillId="19" borderId="7" xfId="0" applyNumberFormat="1" applyFill="1" applyBorder="1" applyAlignment="1" applyProtection="1">
      <alignment horizontal="right"/>
      <protection hidden="1"/>
    </xf>
    <xf numFmtId="0" fontId="0" fillId="19" borderId="5" xfId="0" applyFill="1" applyBorder="1" applyAlignment="1" applyProtection="1">
      <alignment horizontal="center" vertical="center"/>
      <protection hidden="1"/>
    </xf>
    <xf numFmtId="0" fontId="0" fillId="19" borderId="6" xfId="0" applyFill="1" applyBorder="1" applyAlignment="1" applyProtection="1">
      <alignment horizontal="center" vertical="center"/>
      <protection hidden="1"/>
    </xf>
    <xf numFmtId="0" fontId="0" fillId="19" borderId="7" xfId="0" applyFill="1" applyBorder="1" applyAlignment="1" applyProtection="1">
      <alignment horizontal="center" vertical="center"/>
      <protection hidden="1"/>
    </xf>
    <xf numFmtId="0" fontId="0" fillId="4" borderId="0" xfId="0" applyFill="1" applyAlignment="1" applyProtection="1">
      <alignment horizontal="right"/>
      <protection hidden="1"/>
    </xf>
    <xf numFmtId="0" fontId="0" fillId="28" borderId="0" xfId="0" applyFill="1" applyAlignment="1" applyProtection="1">
      <alignment horizontal="right"/>
      <protection hidden="1"/>
    </xf>
    <xf numFmtId="1" fontId="0" fillId="28" borderId="0" xfId="0" applyNumberFormat="1" applyFill="1" applyAlignment="1" applyProtection="1">
      <alignment horizontal="right"/>
      <protection hidden="1"/>
    </xf>
    <xf numFmtId="0" fontId="0" fillId="19" borderId="14" xfId="0" applyFill="1" applyBorder="1" applyAlignment="1" applyProtection="1">
      <alignment horizontal="center" vertical="center"/>
      <protection hidden="1"/>
    </xf>
    <xf numFmtId="0" fontId="0" fillId="19" borderId="12" xfId="0" applyFill="1" applyBorder="1" applyAlignment="1" applyProtection="1">
      <alignment horizontal="center" vertical="center"/>
      <protection hidden="1"/>
    </xf>
    <xf numFmtId="0" fontId="0" fillId="19" borderId="11" xfId="0" applyFill="1" applyBorder="1" applyAlignment="1" applyProtection="1">
      <alignment horizontal="center" vertical="center"/>
      <protection hidden="1"/>
    </xf>
    <xf numFmtId="0" fontId="0" fillId="25" borderId="0" xfId="0" applyFill="1" applyAlignment="1" applyProtection="1">
      <alignment horizontal="center"/>
      <protection hidden="1"/>
    </xf>
    <xf numFmtId="1" fontId="0" fillId="25" borderId="0" xfId="0" applyNumberFormat="1" applyFill="1" applyAlignment="1" applyProtection="1">
      <alignment horizontal="center" vertical="center"/>
      <protection hidden="1"/>
    </xf>
    <xf numFmtId="0" fontId="0" fillId="23" borderId="2" xfId="0" applyFill="1" applyBorder="1" applyProtection="1">
      <protection hidden="1"/>
    </xf>
    <xf numFmtId="0" fontId="0" fillId="23" borderId="0" xfId="0" applyFill="1" applyProtection="1">
      <protection hidden="1"/>
    </xf>
    <xf numFmtId="0" fontId="0" fillId="23" borderId="3" xfId="0" applyFill="1" applyBorder="1" applyProtection="1">
      <protection hidden="1"/>
    </xf>
    <xf numFmtId="0" fontId="0" fillId="15" borderId="0" xfId="0" applyFill="1" applyProtection="1">
      <protection hidden="1"/>
    </xf>
    <xf numFmtId="0" fontId="0" fillId="15" borderId="12" xfId="0" applyFill="1" applyBorder="1" applyProtection="1">
      <protection hidden="1"/>
    </xf>
    <xf numFmtId="0" fontId="0" fillId="15" borderId="3" xfId="0" applyFill="1" applyBorder="1" applyProtection="1">
      <protection hidden="1"/>
    </xf>
    <xf numFmtId="0" fontId="0" fillId="15" borderId="11" xfId="0" applyFill="1" applyBorder="1" applyProtection="1">
      <protection hidden="1"/>
    </xf>
    <xf numFmtId="0" fontId="0" fillId="10" borderId="0" xfId="0" applyFill="1" applyProtection="1">
      <protection hidden="1"/>
    </xf>
    <xf numFmtId="0" fontId="0" fillId="31" borderId="0" xfId="0" applyFill="1" applyProtection="1">
      <protection hidden="1"/>
    </xf>
    <xf numFmtId="0" fontId="41" fillId="5" borderId="0" xfId="0" applyFont="1" applyFill="1" applyAlignment="1" applyProtection="1">
      <alignment horizontal="center"/>
      <protection hidden="1"/>
    </xf>
    <xf numFmtId="0" fontId="11" fillId="5" borderId="0" xfId="0" applyFont="1" applyFill="1" applyAlignment="1" applyProtection="1">
      <alignment horizontal="center"/>
      <protection hidden="1"/>
    </xf>
    <xf numFmtId="0" fontId="1" fillId="5" borderId="0" xfId="0" applyFont="1" applyFill="1" applyAlignment="1" applyProtection="1">
      <alignment horizontal="left"/>
      <protection hidden="1"/>
    </xf>
    <xf numFmtId="0" fontId="12" fillId="6" borderId="12" xfId="0" applyFont="1" applyFill="1" applyBorder="1" applyAlignment="1" applyProtection="1">
      <alignment horizontal="center"/>
      <protection hidden="1"/>
    </xf>
    <xf numFmtId="0" fontId="2" fillId="14" borderId="0" xfId="0" applyFont="1" applyFill="1" applyAlignment="1" applyProtection="1">
      <alignment horizontal="left" indent="1"/>
      <protection hidden="1"/>
    </xf>
    <xf numFmtId="0" fontId="2" fillId="14" borderId="0" xfId="0" applyFont="1" applyFill="1" applyAlignment="1" applyProtection="1">
      <alignment horizontal="center"/>
      <protection hidden="1"/>
    </xf>
    <xf numFmtId="0" fontId="2" fillId="14" borderId="0" xfId="0" applyFont="1" applyFill="1" applyAlignment="1" applyProtection="1">
      <alignment horizontal="right"/>
      <protection hidden="1"/>
    </xf>
    <xf numFmtId="0" fontId="9" fillId="14" borderId="0" xfId="0" applyFont="1" applyFill="1" applyAlignment="1" applyProtection="1">
      <alignment horizontal="left"/>
      <protection hidden="1"/>
    </xf>
    <xf numFmtId="0" fontId="9" fillId="14" borderId="0" xfId="0" applyFont="1" applyFill="1" applyAlignment="1" applyProtection="1">
      <alignment horizontal="center"/>
      <protection hidden="1"/>
    </xf>
    <xf numFmtId="0" fontId="21" fillId="14" borderId="0" xfId="0" applyFont="1" applyFill="1" applyProtection="1">
      <protection hidden="1"/>
    </xf>
    <xf numFmtId="0" fontId="0" fillId="34" borderId="0" xfId="0" applyFill="1" applyProtection="1">
      <protection hidden="1"/>
    </xf>
    <xf numFmtId="0" fontId="0" fillId="35" borderId="0" xfId="0" applyFill="1" applyProtection="1">
      <protection hidden="1"/>
    </xf>
    <xf numFmtId="0" fontId="0" fillId="36" borderId="0" xfId="0" applyFill="1" applyProtection="1">
      <protection hidden="1"/>
    </xf>
    <xf numFmtId="0" fontId="0" fillId="37" borderId="0" xfId="0" applyFill="1" applyProtection="1">
      <protection hidden="1"/>
    </xf>
    <xf numFmtId="165"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right"/>
      <protection hidden="1"/>
    </xf>
    <xf numFmtId="20" fontId="5" fillId="2" borderId="0" xfId="0" applyNumberFormat="1" applyFont="1" applyFill="1" applyAlignment="1" applyProtection="1">
      <alignment horizontal="left"/>
      <protection hidden="1"/>
    </xf>
    <xf numFmtId="0" fontId="11" fillId="12" borderId="0" xfId="0" applyFont="1" applyFill="1" applyAlignment="1" applyProtection="1">
      <alignment horizontal="center" vertical="center"/>
      <protection hidden="1"/>
    </xf>
    <xf numFmtId="0" fontId="11" fillId="11" borderId="0" xfId="0" applyFont="1" applyFill="1" applyProtection="1">
      <protection hidden="1"/>
    </xf>
    <xf numFmtId="0" fontId="11" fillId="11" borderId="0" xfId="0" applyFont="1" applyFill="1" applyAlignment="1" applyProtection="1">
      <alignment vertical="top" wrapText="1"/>
      <protection hidden="1"/>
    </xf>
    <xf numFmtId="0" fontId="11" fillId="11" borderId="0" xfId="0" applyFont="1" applyFill="1" applyAlignment="1" applyProtection="1">
      <alignment horizontal="right"/>
      <protection hidden="1"/>
    </xf>
    <xf numFmtId="0" fontId="11" fillId="11" borderId="1" xfId="0" applyFont="1" applyFill="1" applyBorder="1" applyAlignment="1" applyProtection="1">
      <alignment horizontal="center" vertical="top" wrapText="1"/>
      <protection hidden="1"/>
    </xf>
    <xf numFmtId="0" fontId="11" fillId="11" borderId="0" xfId="0" applyFont="1" applyFill="1" applyAlignment="1" applyProtection="1">
      <alignment vertical="top"/>
      <protection hidden="1"/>
    </xf>
    <xf numFmtId="0" fontId="16" fillId="11" borderId="0" xfId="0" applyFont="1" applyFill="1" applyAlignment="1" applyProtection="1">
      <alignment horizontal="right"/>
      <protection hidden="1"/>
    </xf>
    <xf numFmtId="0" fontId="16" fillId="11" borderId="0" xfId="0" applyFont="1" applyFill="1" applyAlignment="1" applyProtection="1">
      <alignment horizontal="center"/>
      <protection hidden="1"/>
    </xf>
    <xf numFmtId="0" fontId="1" fillId="11" borderId="0" xfId="0" applyFont="1" applyFill="1" applyAlignment="1" applyProtection="1">
      <alignment horizontal="right"/>
      <protection hidden="1"/>
    </xf>
    <xf numFmtId="0" fontId="1" fillId="11" borderId="0" xfId="0" applyFont="1" applyFill="1" applyAlignment="1" applyProtection="1">
      <alignment horizontal="center"/>
      <protection hidden="1"/>
    </xf>
    <xf numFmtId="0" fontId="0" fillId="27" borderId="1" xfId="0" applyFill="1" applyBorder="1" applyAlignment="1" applyProtection="1">
      <alignment horizontal="center"/>
      <protection hidden="1"/>
    </xf>
    <xf numFmtId="0" fontId="5" fillId="2" borderId="0" xfId="0" applyFont="1" applyFill="1" applyProtection="1">
      <protection hidden="1"/>
    </xf>
    <xf numFmtId="0" fontId="1" fillId="10" borderId="0" xfId="0" applyFont="1" applyFill="1" applyAlignment="1" applyProtection="1">
      <alignment horizontal="center"/>
      <protection hidden="1"/>
    </xf>
    <xf numFmtId="0" fontId="1" fillId="20" borderId="0" xfId="0" applyFont="1" applyFill="1" applyAlignment="1" applyProtection="1">
      <alignment horizontal="center"/>
      <protection hidden="1"/>
    </xf>
    <xf numFmtId="0" fontId="0" fillId="20" borderId="0" xfId="0" applyFill="1" applyAlignment="1" applyProtection="1">
      <alignment horizontal="center"/>
      <protection hidden="1"/>
    </xf>
    <xf numFmtId="0" fontId="0" fillId="38" borderId="0" xfId="0" applyFill="1" applyAlignment="1" applyProtection="1">
      <alignment horizontal="center"/>
      <protection hidden="1"/>
    </xf>
    <xf numFmtId="0" fontId="0" fillId="38" borderId="0" xfId="0" applyFill="1" applyAlignment="1" applyProtection="1">
      <alignment horizontal="right"/>
      <protection hidden="1"/>
    </xf>
    <xf numFmtId="0" fontId="0" fillId="38" borderId="0" xfId="0" applyFill="1" applyAlignment="1" applyProtection="1">
      <alignment horizontal="left"/>
      <protection hidden="1"/>
    </xf>
    <xf numFmtId="0" fontId="1" fillId="38" borderId="0" xfId="0" applyFont="1" applyFill="1" applyAlignment="1" applyProtection="1">
      <alignment horizontal="left"/>
      <protection hidden="1"/>
    </xf>
    <xf numFmtId="0" fontId="1" fillId="38" borderId="0" xfId="0" applyFont="1" applyFill="1" applyAlignment="1" applyProtection="1">
      <alignment horizontal="right"/>
      <protection hidden="1"/>
    </xf>
    <xf numFmtId="0" fontId="11" fillId="5" borderId="0" xfId="0" applyFont="1" applyFill="1" applyAlignment="1" applyProtection="1">
      <alignment horizontal="center"/>
      <protection locked="0" hidden="1"/>
    </xf>
    <xf numFmtId="0" fontId="45" fillId="38" borderId="0" xfId="0" applyFont="1" applyFill="1" applyAlignment="1" applyProtection="1">
      <alignment horizontal="left" vertical="center"/>
      <protection hidden="1"/>
    </xf>
    <xf numFmtId="0" fontId="45" fillId="38" borderId="0" xfId="0" applyFont="1" applyFill="1" applyAlignment="1" applyProtection="1">
      <alignment horizontal="left"/>
      <protection hidden="1"/>
    </xf>
    <xf numFmtId="0" fontId="47" fillId="16" borderId="0" xfId="0" applyFont="1" applyFill="1" applyProtection="1">
      <protection hidden="1"/>
    </xf>
    <xf numFmtId="0" fontId="48" fillId="16" borderId="0" xfId="0" applyFont="1" applyFill="1" applyProtection="1">
      <protection hidden="1"/>
    </xf>
    <xf numFmtId="0" fontId="0" fillId="38" borderId="0" xfId="0" applyFill="1" applyAlignment="1" applyProtection="1">
      <alignment horizontal="left" vertical="center"/>
      <protection hidden="1"/>
    </xf>
    <xf numFmtId="0" fontId="1" fillId="38" borderId="0" xfId="0" applyFont="1" applyFill="1" applyAlignment="1" applyProtection="1">
      <alignment horizontal="left" vertical="center"/>
      <protection hidden="1"/>
    </xf>
    <xf numFmtId="0" fontId="14" fillId="38" borderId="0" xfId="0" applyFont="1" applyFill="1" applyAlignment="1" applyProtection="1">
      <alignment horizontal="left" vertical="center"/>
      <protection hidden="1"/>
    </xf>
    <xf numFmtId="0" fontId="14" fillId="38" borderId="0" xfId="0" applyFont="1" applyFill="1" applyAlignment="1" applyProtection="1">
      <alignment horizontal="left"/>
      <protection hidden="1"/>
    </xf>
    <xf numFmtId="0" fontId="7" fillId="2" borderId="1" xfId="0" applyFont="1" applyFill="1" applyBorder="1" applyAlignment="1" applyProtection="1">
      <alignment horizontal="center"/>
      <protection hidden="1"/>
    </xf>
    <xf numFmtId="0" fontId="7" fillId="38" borderId="0" xfId="0" applyFont="1" applyFill="1" applyAlignment="1" applyProtection="1">
      <alignment horizontal="left"/>
      <protection hidden="1"/>
    </xf>
    <xf numFmtId="0" fontId="7" fillId="38" borderId="0" xfId="0" applyFont="1" applyFill="1" applyAlignment="1" applyProtection="1">
      <alignment horizontal="left" vertical="center"/>
      <protection hidden="1"/>
    </xf>
    <xf numFmtId="0" fontId="16" fillId="20" borderId="0" xfId="0" applyFont="1" applyFill="1" applyProtection="1">
      <protection hidden="1"/>
    </xf>
    <xf numFmtId="0" fontId="52" fillId="20" borderId="0" xfId="0" applyFont="1" applyFill="1" applyAlignment="1" applyProtection="1">
      <alignment horizontal="center"/>
      <protection hidden="1"/>
    </xf>
    <xf numFmtId="0" fontId="53" fillId="20" borderId="0" xfId="0" applyFont="1" applyFill="1" applyAlignment="1" applyProtection="1">
      <alignment horizontal="center"/>
      <protection hidden="1"/>
    </xf>
    <xf numFmtId="13" fontId="53" fillId="20" borderId="0" xfId="0" applyNumberFormat="1" applyFont="1" applyFill="1" applyAlignment="1" applyProtection="1">
      <alignment horizontal="center" vertical="center"/>
      <protection hidden="1"/>
    </xf>
    <xf numFmtId="0" fontId="11" fillId="5" borderId="13" xfId="0" applyFont="1" applyFill="1" applyBorder="1" applyProtection="1">
      <protection hidden="1"/>
    </xf>
    <xf numFmtId="0" fontId="17" fillId="5" borderId="2" xfId="0" applyFont="1" applyFill="1" applyBorder="1" applyProtection="1">
      <protection hidden="1"/>
    </xf>
    <xf numFmtId="0" fontId="54" fillId="5" borderId="14" xfId="0" applyFont="1" applyFill="1" applyBorder="1" applyAlignment="1" applyProtection="1">
      <alignment horizontal="center"/>
      <protection hidden="1"/>
    </xf>
    <xf numFmtId="0" fontId="11" fillId="5" borderId="2" xfId="0" applyFont="1" applyFill="1" applyBorder="1" applyProtection="1">
      <protection hidden="1"/>
    </xf>
    <xf numFmtId="0" fontId="11" fillId="5" borderId="8" xfId="0" applyFont="1" applyFill="1" applyBorder="1" applyProtection="1">
      <protection hidden="1"/>
    </xf>
    <xf numFmtId="0" fontId="11" fillId="5" borderId="12" xfId="0" applyFont="1" applyFill="1" applyBorder="1" applyAlignment="1" applyProtection="1">
      <alignment horizontal="center"/>
      <protection hidden="1"/>
    </xf>
    <xf numFmtId="0" fontId="11" fillId="5" borderId="15" xfId="0" applyFont="1" applyFill="1" applyBorder="1" applyProtection="1">
      <protection hidden="1"/>
    </xf>
    <xf numFmtId="0" fontId="11" fillId="5" borderId="3" xfId="0" applyFont="1" applyFill="1" applyBorder="1" applyAlignment="1" applyProtection="1">
      <alignment horizontal="center"/>
      <protection hidden="1"/>
    </xf>
    <xf numFmtId="0" fontId="11" fillId="5" borderId="11" xfId="0" applyFont="1" applyFill="1" applyBorder="1" applyAlignment="1" applyProtection="1">
      <alignment horizontal="center"/>
      <protection hidden="1"/>
    </xf>
    <xf numFmtId="0" fontId="11" fillId="5" borderId="0" xfId="0" applyFont="1" applyFill="1" applyProtection="1">
      <protection hidden="1"/>
    </xf>
    <xf numFmtId="0" fontId="16" fillId="5" borderId="14" xfId="0" applyFont="1" applyFill="1" applyBorder="1" applyAlignment="1" applyProtection="1">
      <alignment horizontal="center"/>
      <protection hidden="1"/>
    </xf>
    <xf numFmtId="0" fontId="7" fillId="38" borderId="0" xfId="0" applyFont="1" applyFill="1" applyAlignment="1" applyProtection="1">
      <alignment horizontal="center" vertical="center"/>
      <protection hidden="1"/>
    </xf>
    <xf numFmtId="0" fontId="7" fillId="38" borderId="0" xfId="0" applyFont="1" applyFill="1" applyAlignment="1" applyProtection="1">
      <alignment horizontal="right"/>
      <protection hidden="1"/>
    </xf>
    <xf numFmtId="0" fontId="50" fillId="4" borderId="0" xfId="0" applyFont="1" applyFill="1" applyProtection="1">
      <protection hidden="1"/>
    </xf>
    <xf numFmtId="166" fontId="5" fillId="13" borderId="0" xfId="0" applyNumberFormat="1" applyFont="1" applyFill="1" applyAlignment="1" applyProtection="1">
      <alignment horizontal="center"/>
      <protection hidden="1"/>
    </xf>
    <xf numFmtId="0" fontId="6" fillId="13" borderId="0" xfId="0" applyFont="1" applyFill="1" applyProtection="1">
      <protection hidden="1"/>
    </xf>
    <xf numFmtId="0" fontId="5" fillId="13" borderId="0" xfId="0" applyFont="1" applyFill="1" applyProtection="1">
      <protection hidden="1"/>
    </xf>
    <xf numFmtId="0" fontId="6" fillId="13" borderId="0" xfId="0" applyFont="1" applyFill="1" applyAlignment="1" applyProtection="1">
      <alignment horizontal="left"/>
      <protection hidden="1"/>
    </xf>
    <xf numFmtId="0" fontId="5" fillId="13" borderId="0" xfId="0" applyFont="1" applyFill="1" applyAlignment="1" applyProtection="1">
      <alignment horizontal="right"/>
      <protection hidden="1"/>
    </xf>
    <xf numFmtId="166" fontId="5" fillId="13" borderId="0" xfId="0" applyNumberFormat="1" applyFont="1" applyFill="1" applyProtection="1">
      <protection hidden="1"/>
    </xf>
    <xf numFmtId="0" fontId="5" fillId="20" borderId="0" xfId="0" applyFont="1" applyFill="1" applyProtection="1">
      <protection hidden="1"/>
    </xf>
    <xf numFmtId="0" fontId="5" fillId="20" borderId="0" xfId="0" applyFont="1" applyFill="1" applyAlignment="1" applyProtection="1">
      <alignment horizontal="right"/>
      <protection hidden="1"/>
    </xf>
    <xf numFmtId="166" fontId="5" fillId="20" borderId="0" xfId="0" applyNumberFormat="1" applyFont="1" applyFill="1" applyAlignment="1" applyProtection="1">
      <alignment horizontal="right"/>
      <protection hidden="1"/>
    </xf>
    <xf numFmtId="166" fontId="5" fillId="20" borderId="0" xfId="0" applyNumberFormat="1" applyFont="1" applyFill="1" applyProtection="1">
      <protection hidden="1"/>
    </xf>
    <xf numFmtId="0" fontId="5" fillId="13" borderId="0" xfId="0" applyFont="1" applyFill="1" applyAlignment="1" applyProtection="1">
      <alignment horizontal="left"/>
      <protection hidden="1"/>
    </xf>
    <xf numFmtId="0" fontId="5" fillId="22" borderId="13" xfId="0" applyFont="1" applyFill="1" applyBorder="1" applyAlignment="1" applyProtection="1">
      <alignment horizontal="center"/>
      <protection hidden="1"/>
    </xf>
    <xf numFmtId="0" fontId="5" fillId="22" borderId="14" xfId="0" applyFont="1" applyFill="1" applyBorder="1" applyAlignment="1" applyProtection="1">
      <alignment horizontal="center"/>
      <protection hidden="1"/>
    </xf>
    <xf numFmtId="0" fontId="5" fillId="22" borderId="15" xfId="0" applyFont="1" applyFill="1" applyBorder="1" applyAlignment="1" applyProtection="1">
      <alignment horizontal="center"/>
      <protection hidden="1"/>
    </xf>
    <xf numFmtId="0" fontId="5" fillId="22" borderId="11" xfId="0" applyFont="1" applyFill="1" applyBorder="1" applyAlignment="1" applyProtection="1">
      <alignment horizontal="center"/>
      <protection hidden="1"/>
    </xf>
    <xf numFmtId="0" fontId="5" fillId="16" borderId="0" xfId="0" applyFont="1" applyFill="1" applyAlignment="1" applyProtection="1">
      <alignment horizontal="center"/>
      <protection hidden="1"/>
    </xf>
    <xf numFmtId="0" fontId="5" fillId="12" borderId="0" xfId="0" applyFont="1" applyFill="1" applyAlignment="1" applyProtection="1">
      <alignment horizontal="center"/>
      <protection hidden="1"/>
    </xf>
    <xf numFmtId="0" fontId="5" fillId="12" borderId="0" xfId="0" applyFont="1" applyFill="1" applyProtection="1">
      <protection hidden="1"/>
    </xf>
    <xf numFmtId="0" fontId="5" fillId="12" borderId="0" xfId="0" applyFont="1" applyFill="1" applyAlignment="1" applyProtection="1">
      <alignment horizontal="left"/>
      <protection hidden="1"/>
    </xf>
    <xf numFmtId="0" fontId="0" fillId="8" borderId="0" xfId="0" applyFill="1" applyAlignment="1" applyProtection="1">
      <alignment horizontal="right"/>
      <protection hidden="1"/>
    </xf>
    <xf numFmtId="0" fontId="6" fillId="24" borderId="0" xfId="0" applyFont="1" applyFill="1" applyProtection="1">
      <protection hidden="1"/>
    </xf>
    <xf numFmtId="0" fontId="5" fillId="24" borderId="0" xfId="0" applyFont="1" applyFill="1" applyProtection="1">
      <protection hidden="1"/>
    </xf>
    <xf numFmtId="0" fontId="45" fillId="11" borderId="0" xfId="0" applyFont="1" applyFill="1" applyAlignment="1" applyProtection="1">
      <alignment horizontal="left" vertical="center"/>
      <protection hidden="1"/>
    </xf>
    <xf numFmtId="0" fontId="57" fillId="13" borderId="0" xfId="0" applyFont="1" applyFill="1" applyProtection="1">
      <protection hidden="1"/>
    </xf>
    <xf numFmtId="0" fontId="7" fillId="38" borderId="1" xfId="0" applyFont="1" applyFill="1" applyBorder="1" applyAlignment="1" applyProtection="1">
      <alignment horizontal="center"/>
      <protection hidden="1"/>
    </xf>
    <xf numFmtId="0" fontId="1" fillId="17" borderId="0" xfId="0" applyFont="1" applyFill="1" applyProtection="1">
      <protection hidden="1"/>
    </xf>
    <xf numFmtId="20" fontId="5" fillId="2" borderId="4" xfId="0" applyNumberFormat="1" applyFont="1" applyFill="1" applyBorder="1" applyAlignment="1" applyProtection="1">
      <alignment horizontal="left"/>
      <protection hidden="1"/>
    </xf>
    <xf numFmtId="0" fontId="15" fillId="25" borderId="0" xfId="0" applyFont="1" applyFill="1" applyAlignment="1" applyProtection="1">
      <alignment horizontal="center" vertical="center" wrapText="1"/>
      <protection hidden="1"/>
    </xf>
    <xf numFmtId="0" fontId="39" fillId="2" borderId="2" xfId="0" applyFont="1" applyFill="1" applyBorder="1" applyProtection="1">
      <protection hidden="1"/>
    </xf>
    <xf numFmtId="0" fontId="5" fillId="2" borderId="3" xfId="0" applyFont="1" applyFill="1" applyBorder="1" applyProtection="1">
      <protection hidden="1"/>
    </xf>
    <xf numFmtId="0" fontId="1" fillId="18" borderId="0" xfId="0" applyFont="1" applyFill="1" applyAlignment="1" applyProtection="1">
      <alignment horizontal="left"/>
      <protection hidden="1"/>
    </xf>
    <xf numFmtId="0" fontId="4" fillId="18" borderId="0" xfId="0" applyFont="1" applyFill="1" applyProtection="1">
      <protection hidden="1"/>
    </xf>
    <xf numFmtId="0" fontId="23" fillId="2" borderId="0" xfId="0" applyFont="1" applyFill="1" applyProtection="1">
      <protection hidden="1"/>
    </xf>
    <xf numFmtId="0" fontId="1" fillId="18" borderId="0" xfId="0" applyFont="1" applyFill="1" applyAlignment="1" applyProtection="1">
      <alignment horizontal="right" indent="1"/>
      <protection hidden="1"/>
    </xf>
    <xf numFmtId="0" fontId="5" fillId="2" borderId="4" xfId="0" applyFont="1" applyFill="1" applyBorder="1" applyProtection="1">
      <protection hidden="1"/>
    </xf>
    <xf numFmtId="0" fontId="58" fillId="33" borderId="28" xfId="0" applyFont="1" applyFill="1" applyBorder="1" applyAlignment="1" applyProtection="1">
      <alignment horizontal="center" vertical="center"/>
      <protection hidden="1"/>
    </xf>
    <xf numFmtId="0" fontId="58" fillId="33" borderId="29" xfId="0" applyFont="1" applyFill="1" applyBorder="1" applyAlignment="1" applyProtection="1">
      <alignment vertical="center"/>
      <protection hidden="1"/>
    </xf>
    <xf numFmtId="0" fontId="58" fillId="33" borderId="27" xfId="0" applyFont="1" applyFill="1" applyBorder="1" applyAlignment="1" applyProtection="1">
      <alignment horizontal="center" vertical="center"/>
      <protection hidden="1"/>
    </xf>
    <xf numFmtId="0" fontId="58" fillId="33" borderId="31" xfId="0" applyFont="1" applyFill="1" applyBorder="1" applyAlignment="1" applyProtection="1">
      <alignment horizontal="center" vertical="center"/>
      <protection hidden="1"/>
    </xf>
    <xf numFmtId="0" fontId="58" fillId="33" borderId="32" xfId="0" applyFont="1" applyFill="1" applyBorder="1" applyAlignment="1" applyProtection="1">
      <alignment vertical="center"/>
      <protection hidden="1"/>
    </xf>
    <xf numFmtId="0" fontId="58" fillId="33" borderId="30" xfId="0" applyFont="1" applyFill="1" applyBorder="1" applyAlignment="1" applyProtection="1">
      <alignment horizontal="center" vertical="center"/>
      <protection hidden="1"/>
    </xf>
    <xf numFmtId="0" fontId="58" fillId="33" borderId="34" xfId="0" applyFont="1" applyFill="1" applyBorder="1" applyAlignment="1" applyProtection="1">
      <alignment horizontal="center" vertical="center"/>
      <protection hidden="1"/>
    </xf>
    <xf numFmtId="0" fontId="58" fillId="33" borderId="35" xfId="0" applyFont="1" applyFill="1" applyBorder="1" applyAlignment="1" applyProtection="1">
      <alignment vertical="center"/>
      <protection hidden="1"/>
    </xf>
    <xf numFmtId="0" fontId="58" fillId="33" borderId="33" xfId="0" applyFont="1" applyFill="1" applyBorder="1" applyAlignment="1" applyProtection="1">
      <alignment horizontal="center" vertical="center"/>
      <protection hidden="1"/>
    </xf>
    <xf numFmtId="0" fontId="1" fillId="28" borderId="0" xfId="0" applyFont="1" applyFill="1" applyAlignment="1" applyProtection="1">
      <alignment horizontal="center"/>
      <protection hidden="1"/>
    </xf>
    <xf numFmtId="0" fontId="11" fillId="2" borderId="0" xfId="0" applyFont="1" applyFill="1" applyAlignment="1" applyProtection="1">
      <alignment horizontal="left" vertical="top" indent="2"/>
      <protection hidden="1"/>
    </xf>
    <xf numFmtId="0" fontId="0" fillId="2" borderId="0" xfId="0" applyFill="1" applyAlignment="1" applyProtection="1">
      <alignment vertical="top" wrapText="1"/>
      <protection hidden="1"/>
    </xf>
    <xf numFmtId="164"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center"/>
      <protection hidden="1"/>
    </xf>
    <xf numFmtId="1" fontId="5" fillId="2" borderId="0" xfId="0" applyNumberFormat="1" applyFont="1" applyFill="1" applyAlignment="1" applyProtection="1">
      <alignment horizontal="center"/>
      <protection hidden="1"/>
    </xf>
    <xf numFmtId="0" fontId="5" fillId="2" borderId="0" xfId="0" applyFont="1" applyFill="1" applyAlignment="1" applyProtection="1">
      <alignment horizontal="center"/>
      <protection hidden="1"/>
    </xf>
    <xf numFmtId="0" fontId="9" fillId="2" borderId="0" xfId="0" applyFont="1" applyFill="1" applyProtection="1">
      <protection hidden="1"/>
    </xf>
    <xf numFmtId="1" fontId="2" fillId="3" borderId="4" xfId="0" applyNumberFormat="1" applyFont="1" applyFill="1" applyBorder="1" applyAlignment="1" applyProtection="1">
      <alignment horizontal="center"/>
      <protection locked="0" hidden="1"/>
    </xf>
    <xf numFmtId="0" fontId="1" fillId="2" borderId="2" xfId="0" applyFont="1" applyFill="1" applyBorder="1" applyProtection="1">
      <protection hidden="1"/>
    </xf>
    <xf numFmtId="0" fontId="1" fillId="18" borderId="0" xfId="0" applyFont="1" applyFill="1" applyAlignment="1" applyProtection="1">
      <alignment vertical="center" wrapText="1"/>
      <protection hidden="1"/>
    </xf>
    <xf numFmtId="0" fontId="1" fillId="2" borderId="1" xfId="0" applyFont="1" applyFill="1" applyBorder="1" applyAlignment="1" applyProtection="1">
      <alignment horizontal="center" vertical="center" wrapText="1"/>
      <protection hidden="1"/>
    </xf>
    <xf numFmtId="0" fontId="5" fillId="38" borderId="0" xfId="0" applyFont="1" applyFill="1" applyProtection="1">
      <protection hidden="1"/>
    </xf>
    <xf numFmtId="0" fontId="20" fillId="16" borderId="0" xfId="0" applyFont="1" applyFill="1" applyProtection="1">
      <protection hidden="1"/>
    </xf>
    <xf numFmtId="0" fontId="17" fillId="5" borderId="0" xfId="0" applyFont="1" applyFill="1" applyAlignment="1" applyProtection="1">
      <alignment horizontal="center"/>
      <protection hidden="1"/>
    </xf>
    <xf numFmtId="0" fontId="0" fillId="14" borderId="0" xfId="0" applyFill="1" applyAlignment="1" applyProtection="1">
      <alignment horizontal="left"/>
      <protection hidden="1"/>
    </xf>
    <xf numFmtId="0" fontId="11" fillId="2" borderId="0" xfId="0" applyFont="1" applyFill="1" applyAlignment="1" applyProtection="1">
      <alignment vertical="top" wrapText="1"/>
      <protection hidden="1"/>
    </xf>
    <xf numFmtId="0" fontId="0" fillId="2" borderId="0" xfId="0" applyFill="1" applyAlignment="1" applyProtection="1">
      <alignment horizontal="left" vertical="top" wrapText="1" indent="2"/>
      <protection hidden="1"/>
    </xf>
    <xf numFmtId="0" fontId="21" fillId="5" borderId="0" xfId="0" applyFont="1" applyFill="1" applyAlignment="1" applyProtection="1">
      <alignment horizontal="center"/>
      <protection hidden="1"/>
    </xf>
    <xf numFmtId="0" fontId="0" fillId="6" borderId="0" xfId="0" applyFill="1" applyAlignment="1" applyProtection="1">
      <alignment horizontal="left" indent="1"/>
      <protection hidden="1"/>
    </xf>
    <xf numFmtId="0" fontId="12" fillId="6" borderId="11" xfId="0" applyFont="1" applyFill="1" applyBorder="1" applyProtection="1">
      <protection hidden="1"/>
    </xf>
    <xf numFmtId="0" fontId="0" fillId="3" borderId="14" xfId="0" applyFill="1" applyBorder="1" applyProtection="1">
      <protection hidden="1"/>
    </xf>
    <xf numFmtId="0" fontId="0" fillId="3" borderId="12" xfId="0" applyFill="1" applyBorder="1" applyProtection="1">
      <protection hidden="1"/>
    </xf>
    <xf numFmtId="0" fontId="0" fillId="3" borderId="15" xfId="0" applyFill="1" applyBorder="1" applyProtection="1">
      <protection hidden="1"/>
    </xf>
    <xf numFmtId="0" fontId="0" fillId="3" borderId="11" xfId="0" applyFill="1" applyBorder="1" applyProtection="1">
      <protection hidden="1"/>
    </xf>
    <xf numFmtId="0" fontId="0" fillId="6" borderId="14" xfId="0" applyFill="1" applyBorder="1" applyProtection="1">
      <protection hidden="1"/>
    </xf>
    <xf numFmtId="0" fontId="0" fillId="6" borderId="12" xfId="0" applyFill="1" applyBorder="1" applyAlignment="1" applyProtection="1">
      <alignment horizontal="left" indent="1"/>
      <protection hidden="1"/>
    </xf>
    <xf numFmtId="0" fontId="0" fillId="2" borderId="0" xfId="0" applyFill="1" applyAlignment="1" applyProtection="1">
      <alignment horizontal="left" vertical="top" indent="2"/>
      <protection hidden="1"/>
    </xf>
    <xf numFmtId="0" fontId="0" fillId="2" borderId="0" xfId="0" applyFill="1" applyAlignment="1" applyProtection="1">
      <alignment horizontal="left" vertical="top" wrapText="1" indent="4"/>
      <protection hidden="1"/>
    </xf>
    <xf numFmtId="0" fontId="0" fillId="2" borderId="0" xfId="0" applyFill="1" applyAlignment="1" applyProtection="1">
      <alignment horizontal="left" vertical="top" indent="3"/>
      <protection hidden="1"/>
    </xf>
    <xf numFmtId="0" fontId="9" fillId="14" borderId="0" xfId="0" applyFont="1" applyFill="1" applyProtection="1">
      <protection hidden="1"/>
    </xf>
    <xf numFmtId="0" fontId="0" fillId="13" borderId="3" xfId="0" applyFill="1" applyBorder="1" applyProtection="1">
      <protection hidden="1"/>
    </xf>
    <xf numFmtId="0" fontId="1" fillId="14" borderId="3" xfId="0" applyFont="1" applyFill="1" applyBorder="1" applyAlignment="1" applyProtection="1">
      <alignment horizontal="center"/>
      <protection hidden="1"/>
    </xf>
    <xf numFmtId="0" fontId="0" fillId="13" borderId="3" xfId="0" applyFill="1" applyBorder="1" applyAlignment="1" applyProtection="1">
      <alignment horizontal="center"/>
      <protection hidden="1"/>
    </xf>
    <xf numFmtId="0" fontId="0" fillId="13" borderId="0" xfId="0" applyFill="1" applyProtection="1">
      <protection hidden="1"/>
    </xf>
    <xf numFmtId="0" fontId="0" fillId="13" borderId="2" xfId="0" applyFill="1" applyBorder="1" applyProtection="1">
      <protection hidden="1"/>
    </xf>
    <xf numFmtId="0" fontId="12" fillId="2" borderId="0" xfId="0" applyFont="1" applyFill="1" applyProtection="1">
      <protection hidden="1"/>
    </xf>
    <xf numFmtId="0" fontId="11" fillId="7" borderId="0" xfId="0" applyFont="1" applyFill="1" applyAlignment="1" applyProtection="1">
      <alignment horizontal="center"/>
      <protection hidden="1"/>
    </xf>
    <xf numFmtId="0" fontId="0" fillId="3" borderId="8" xfId="0" applyFill="1" applyBorder="1" applyProtection="1">
      <protection hidden="1"/>
    </xf>
    <xf numFmtId="0" fontId="0" fillId="10" borderId="13" xfId="0" applyFill="1" applyBorder="1" applyAlignment="1" applyProtection="1">
      <alignment horizontal="center"/>
      <protection hidden="1"/>
    </xf>
    <xf numFmtId="0" fontId="0" fillId="10" borderId="2" xfId="0" applyFill="1" applyBorder="1" applyProtection="1">
      <protection hidden="1"/>
    </xf>
    <xf numFmtId="0" fontId="0" fillId="10" borderId="8" xfId="0" applyFill="1" applyBorder="1" applyAlignment="1" applyProtection="1">
      <alignment horizontal="center"/>
      <protection hidden="1"/>
    </xf>
    <xf numFmtId="0" fontId="0" fillId="10" borderId="15" xfId="0" applyFill="1" applyBorder="1" applyAlignment="1" applyProtection="1">
      <alignment horizontal="center"/>
      <protection hidden="1"/>
    </xf>
    <xf numFmtId="0" fontId="0" fillId="15" borderId="8" xfId="0" applyFill="1" applyBorder="1" applyProtection="1">
      <protection hidden="1"/>
    </xf>
    <xf numFmtId="0" fontId="0" fillId="15" borderId="15" xfId="0" applyFill="1" applyBorder="1" applyProtection="1">
      <protection hidden="1"/>
    </xf>
    <xf numFmtId="0" fontId="50" fillId="4" borderId="0" xfId="0" applyFont="1" applyFill="1" applyAlignment="1" applyProtection="1">
      <alignment horizontal="right" indent="1"/>
      <protection hidden="1"/>
    </xf>
    <xf numFmtId="0" fontId="0" fillId="2" borderId="0" xfId="0" applyFill="1" applyAlignment="1" applyProtection="1">
      <alignment horizontal="right"/>
      <protection hidden="1"/>
    </xf>
    <xf numFmtId="0" fontId="63" fillId="4" borderId="0" xfId="0" applyFont="1" applyFill="1" applyAlignment="1" applyProtection="1">
      <alignment horizontal="center"/>
      <protection hidden="1"/>
    </xf>
    <xf numFmtId="0" fontId="55" fillId="2" borderId="0" xfId="0" applyFont="1" applyFill="1" applyProtection="1">
      <protection hidden="1"/>
    </xf>
    <xf numFmtId="0" fontId="33" fillId="2" borderId="0" xfId="0" applyFont="1" applyFill="1" applyAlignment="1" applyProtection="1">
      <alignment horizontal="center"/>
      <protection hidden="1"/>
    </xf>
    <xf numFmtId="164" fontId="33" fillId="2" borderId="0" xfId="0" applyNumberFormat="1" applyFont="1" applyFill="1" applyAlignment="1" applyProtection="1">
      <alignment horizontal="center"/>
      <protection hidden="1"/>
    </xf>
    <xf numFmtId="165"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right"/>
      <protection hidden="1"/>
    </xf>
    <xf numFmtId="20"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left"/>
      <protection hidden="1"/>
    </xf>
    <xf numFmtId="0" fontId="4" fillId="19" borderId="0" xfId="0" applyFont="1" applyFill="1" applyProtection="1">
      <protection hidden="1"/>
    </xf>
    <xf numFmtId="0" fontId="0" fillId="19" borderId="0" xfId="0" applyFill="1" applyAlignment="1" applyProtection="1">
      <alignment horizontal="left" vertical="top"/>
      <protection hidden="1"/>
    </xf>
    <xf numFmtId="12" fontId="0" fillId="19" borderId="0" xfId="0" applyNumberFormat="1" applyFill="1" applyAlignment="1" applyProtection="1">
      <alignment horizontal="left" vertical="top"/>
      <protection hidden="1"/>
    </xf>
    <xf numFmtId="1" fontId="0" fillId="4" borderId="0" xfId="0" applyNumberFormat="1" applyFill="1" applyProtection="1">
      <protection hidden="1"/>
    </xf>
    <xf numFmtId="0" fontId="19" fillId="19" borderId="0" xfId="0" applyFont="1" applyFill="1" applyAlignment="1" applyProtection="1">
      <alignment vertical="center"/>
      <protection hidden="1"/>
    </xf>
    <xf numFmtId="0" fontId="43" fillId="27" borderId="0" xfId="0" applyFont="1" applyFill="1" applyAlignment="1" applyProtection="1">
      <alignment horizontal="center"/>
      <protection hidden="1"/>
    </xf>
    <xf numFmtId="0" fontId="43" fillId="10" borderId="0" xfId="0" applyFont="1" applyFill="1" applyAlignment="1" applyProtection="1">
      <alignment horizontal="center"/>
      <protection hidden="1"/>
    </xf>
    <xf numFmtId="0" fontId="43" fillId="28" borderId="0" xfId="0" applyFont="1" applyFill="1" applyAlignment="1" applyProtection="1">
      <alignment horizontal="center"/>
      <protection hidden="1"/>
    </xf>
    <xf numFmtId="0" fontId="43" fillId="25" borderId="0" xfId="0" applyFont="1" applyFill="1" applyAlignment="1" applyProtection="1">
      <alignment horizontal="center"/>
      <protection hidden="1"/>
    </xf>
    <xf numFmtId="0" fontId="43" fillId="20" borderId="0" xfId="0" applyFont="1" applyFill="1" applyAlignment="1" applyProtection="1">
      <alignment horizontal="center"/>
      <protection hidden="1"/>
    </xf>
    <xf numFmtId="0" fontId="43" fillId="28" borderId="0" xfId="0" applyFont="1" applyFill="1" applyAlignment="1" applyProtection="1">
      <alignment horizontal="right"/>
      <protection hidden="1"/>
    </xf>
    <xf numFmtId="0" fontId="0" fillId="2" borderId="0" xfId="0" applyFill="1" applyAlignment="1" applyProtection="1">
      <alignment horizontal="left"/>
      <protection hidden="1"/>
    </xf>
    <xf numFmtId="0" fontId="2" fillId="2" borderId="0" xfId="0" applyFont="1" applyFill="1" applyAlignment="1" applyProtection="1">
      <alignment wrapText="1"/>
      <protection hidden="1"/>
    </xf>
    <xf numFmtId="0" fontId="16" fillId="5" borderId="0" xfId="0" applyFont="1" applyFill="1" applyProtection="1">
      <protection hidden="1"/>
    </xf>
    <xf numFmtId="0" fontId="1" fillId="5" borderId="0" xfId="0" applyFont="1" applyFill="1" applyAlignment="1" applyProtection="1">
      <alignment horizontal="center" vertical="top"/>
      <protection hidden="1"/>
    </xf>
    <xf numFmtId="0" fontId="65" fillId="5" borderId="0" xfId="0" applyFont="1" applyFill="1" applyAlignment="1" applyProtection="1">
      <alignment horizontal="center" vertical="center"/>
      <protection hidden="1"/>
    </xf>
    <xf numFmtId="0" fontId="43" fillId="11" borderId="0" xfId="0" applyFont="1" applyFill="1" applyAlignment="1" applyProtection="1">
      <alignment horizontal="center"/>
      <protection hidden="1"/>
    </xf>
    <xf numFmtId="0" fontId="67" fillId="13" borderId="0" xfId="0" applyFont="1" applyFill="1" applyAlignment="1" applyProtection="1">
      <alignment horizontal="center"/>
      <protection hidden="1"/>
    </xf>
    <xf numFmtId="0" fontId="68" fillId="13" borderId="0" xfId="0" applyFont="1" applyFill="1" applyProtection="1">
      <protection hidden="1"/>
    </xf>
    <xf numFmtId="0" fontId="64" fillId="13" borderId="0" xfId="0" applyFont="1" applyFill="1" applyAlignment="1" applyProtection="1">
      <alignment horizontal="center"/>
      <protection hidden="1"/>
    </xf>
    <xf numFmtId="0" fontId="67" fillId="16" borderId="0" xfId="0" applyFont="1" applyFill="1" applyAlignment="1" applyProtection="1">
      <alignment horizontal="center"/>
      <protection hidden="1"/>
    </xf>
    <xf numFmtId="0" fontId="30" fillId="2" borderId="0" xfId="0" applyFont="1" applyFill="1" applyProtection="1">
      <protection hidden="1"/>
    </xf>
    <xf numFmtId="0" fontId="31" fillId="2" borderId="0" xfId="0" applyFont="1" applyFill="1" applyProtection="1">
      <protection hidden="1"/>
    </xf>
    <xf numFmtId="0" fontId="1" fillId="14" borderId="0" xfId="0" applyFont="1" applyFill="1" applyAlignment="1" applyProtection="1">
      <alignment horizontal="left"/>
      <protection hidden="1"/>
    </xf>
    <xf numFmtId="0" fontId="11" fillId="3" borderId="0" xfId="0" applyFont="1" applyFill="1" applyProtection="1">
      <protection hidden="1"/>
    </xf>
    <xf numFmtId="0" fontId="1" fillId="15" borderId="0" xfId="0" applyFont="1" applyFill="1" applyAlignment="1" applyProtection="1">
      <alignment horizontal="center"/>
      <protection hidden="1"/>
    </xf>
    <xf numFmtId="0" fontId="0" fillId="4" borderId="0" xfId="0" applyFill="1" applyAlignment="1" applyProtection="1">
      <alignment horizontal="left" indent="2"/>
      <protection hidden="1"/>
    </xf>
    <xf numFmtId="0" fontId="55" fillId="2" borderId="3" xfId="0" applyFont="1" applyFill="1" applyBorder="1" applyAlignment="1" applyProtection="1">
      <alignment vertical="top"/>
      <protection hidden="1"/>
    </xf>
    <xf numFmtId="0" fontId="11" fillId="19" borderId="7" xfId="0" applyFont="1" applyFill="1" applyBorder="1" applyAlignment="1" applyProtection="1">
      <alignment horizontal="center"/>
      <protection hidden="1"/>
    </xf>
    <xf numFmtId="14" fontId="12" fillId="2" borderId="4" xfId="0" applyNumberFormat="1" applyFont="1" applyFill="1" applyBorder="1" applyProtection="1">
      <protection hidden="1"/>
    </xf>
    <xf numFmtId="0" fontId="12" fillId="2" borderId="4" xfId="0" applyFont="1" applyFill="1" applyBorder="1" applyProtection="1">
      <protection hidden="1"/>
    </xf>
    <xf numFmtId="1" fontId="69" fillId="2" borderId="0" xfId="0" applyNumberFormat="1" applyFont="1" applyFill="1" applyAlignment="1" applyProtection="1">
      <alignment horizontal="center" vertical="center"/>
      <protection hidden="1"/>
    </xf>
    <xf numFmtId="0" fontId="70" fillId="2" borderId="0" xfId="0" applyFont="1" applyFill="1" applyProtection="1">
      <protection hidden="1"/>
    </xf>
    <xf numFmtId="0" fontId="16" fillId="20" borderId="0" xfId="0" applyFont="1" applyFill="1" applyAlignment="1" applyProtection="1">
      <alignment horizontal="center"/>
      <protection hidden="1"/>
    </xf>
    <xf numFmtId="0" fontId="11" fillId="10" borderId="0" xfId="0" applyFont="1" applyFill="1" applyAlignment="1" applyProtection="1">
      <alignment horizontal="center"/>
      <protection hidden="1"/>
    </xf>
    <xf numFmtId="0" fontId="11" fillId="20" borderId="0" xfId="0" applyFont="1" applyFill="1" applyAlignment="1" applyProtection="1">
      <alignment horizontal="center"/>
      <protection hidden="1"/>
    </xf>
    <xf numFmtId="164" fontId="64" fillId="2" borderId="4" xfId="0" applyNumberFormat="1" applyFont="1" applyFill="1" applyBorder="1" applyAlignment="1" applyProtection="1">
      <alignment horizontal="center"/>
      <protection hidden="1"/>
    </xf>
    <xf numFmtId="165" fontId="64" fillId="2" borderId="4" xfId="0" applyNumberFormat="1" applyFont="1" applyFill="1" applyBorder="1" applyAlignment="1" applyProtection="1">
      <alignment horizontal="center"/>
      <protection hidden="1"/>
    </xf>
    <xf numFmtId="0" fontId="64" fillId="2" borderId="4" xfId="0" applyFont="1" applyFill="1" applyBorder="1" applyAlignment="1" applyProtection="1">
      <alignment horizontal="center"/>
      <protection hidden="1"/>
    </xf>
    <xf numFmtId="0" fontId="53" fillId="2" borderId="0" xfId="0" applyFont="1" applyFill="1" applyProtection="1">
      <protection hidden="1"/>
    </xf>
    <xf numFmtId="20" fontId="64" fillId="2" borderId="4" xfId="0" applyNumberFormat="1" applyFont="1" applyFill="1" applyBorder="1" applyAlignment="1" applyProtection="1">
      <alignment horizontal="right"/>
      <protection hidden="1"/>
    </xf>
    <xf numFmtId="20" fontId="64" fillId="2" borderId="4" xfId="0" applyNumberFormat="1" applyFont="1" applyFill="1" applyBorder="1" applyAlignment="1" applyProtection="1">
      <alignment horizontal="center"/>
      <protection hidden="1"/>
    </xf>
    <xf numFmtId="20" fontId="64" fillId="2" borderId="4" xfId="0" applyNumberFormat="1" applyFont="1" applyFill="1" applyBorder="1" applyAlignment="1" applyProtection="1">
      <alignment horizontal="left"/>
      <protection hidden="1"/>
    </xf>
    <xf numFmtId="0" fontId="16" fillId="7" borderId="0" xfId="0" applyFont="1" applyFill="1" applyAlignment="1" applyProtection="1">
      <alignment horizontal="center"/>
      <protection hidden="1"/>
    </xf>
    <xf numFmtId="0" fontId="11" fillId="19" borderId="0" xfId="0" applyFont="1" applyFill="1" applyProtection="1">
      <protection hidden="1"/>
    </xf>
    <xf numFmtId="0" fontId="16" fillId="19" borderId="0" xfId="0" applyFont="1" applyFill="1" applyProtection="1">
      <protection hidden="1"/>
    </xf>
    <xf numFmtId="0" fontId="11" fillId="19" borderId="5" xfId="0" applyFont="1" applyFill="1" applyBorder="1" applyProtection="1">
      <protection hidden="1"/>
    </xf>
    <xf numFmtId="0" fontId="11" fillId="19" borderId="13" xfId="0" applyFont="1" applyFill="1" applyBorder="1" applyAlignment="1" applyProtection="1">
      <alignment horizontal="center"/>
      <protection hidden="1"/>
    </xf>
    <xf numFmtId="1" fontId="11" fillId="19" borderId="2" xfId="0" applyNumberFormat="1" applyFont="1" applyFill="1" applyBorder="1" applyAlignment="1" applyProtection="1">
      <alignment horizontal="center"/>
      <protection hidden="1"/>
    </xf>
    <xf numFmtId="0" fontId="11" fillId="19" borderId="5" xfId="0" applyFont="1" applyFill="1" applyBorder="1" applyAlignment="1" applyProtection="1">
      <alignment horizontal="center"/>
      <protection hidden="1"/>
    </xf>
    <xf numFmtId="1" fontId="11" fillId="19" borderId="5" xfId="0" applyNumberFormat="1" applyFont="1" applyFill="1" applyBorder="1" applyAlignment="1" applyProtection="1">
      <alignment horizontal="center"/>
      <protection hidden="1"/>
    </xf>
    <xf numFmtId="1" fontId="11" fillId="19" borderId="14" xfId="0" applyNumberFormat="1" applyFont="1" applyFill="1" applyBorder="1" applyAlignment="1" applyProtection="1">
      <alignment horizontal="center"/>
      <protection hidden="1"/>
    </xf>
    <xf numFmtId="0" fontId="11" fillId="19" borderId="2" xfId="0" applyFont="1" applyFill="1" applyBorder="1" applyAlignment="1" applyProtection="1">
      <alignment horizontal="center"/>
      <protection hidden="1"/>
    </xf>
    <xf numFmtId="0" fontId="11" fillId="19" borderId="14" xfId="0" applyFont="1" applyFill="1" applyBorder="1" applyAlignment="1" applyProtection="1">
      <alignment horizontal="center"/>
      <protection hidden="1"/>
    </xf>
    <xf numFmtId="0" fontId="11" fillId="19" borderId="5" xfId="0" applyFont="1" applyFill="1" applyBorder="1" applyAlignment="1" applyProtection="1">
      <alignment horizontal="center" vertical="center"/>
      <protection hidden="1"/>
    </xf>
    <xf numFmtId="0" fontId="11" fillId="19" borderId="6" xfId="0" applyFont="1" applyFill="1" applyBorder="1" applyProtection="1">
      <protection hidden="1"/>
    </xf>
    <xf numFmtId="0" fontId="11" fillId="19" borderId="8" xfId="0" applyFont="1" applyFill="1" applyBorder="1" applyAlignment="1" applyProtection="1">
      <alignment horizontal="center"/>
      <protection hidden="1"/>
    </xf>
    <xf numFmtId="1" fontId="11" fillId="19" borderId="8" xfId="0" applyNumberFormat="1" applyFont="1" applyFill="1" applyBorder="1" applyAlignment="1" applyProtection="1">
      <alignment horizontal="center"/>
      <protection hidden="1"/>
    </xf>
    <xf numFmtId="0" fontId="11" fillId="19" borderId="0" xfId="0" applyFont="1" applyFill="1" applyAlignment="1" applyProtection="1">
      <alignment horizontal="center"/>
      <protection hidden="1"/>
    </xf>
    <xf numFmtId="1" fontId="11" fillId="19" borderId="0" xfId="0" applyNumberFormat="1" applyFont="1" applyFill="1" applyAlignment="1" applyProtection="1">
      <alignment horizontal="center"/>
      <protection hidden="1"/>
    </xf>
    <xf numFmtId="0" fontId="11" fillId="19" borderId="6" xfId="0" applyFont="1" applyFill="1" applyBorder="1" applyAlignment="1" applyProtection="1">
      <alignment horizontal="center"/>
      <protection hidden="1"/>
    </xf>
    <xf numFmtId="1" fontId="11" fillId="19" borderId="6" xfId="0" applyNumberFormat="1" applyFont="1" applyFill="1" applyBorder="1" applyAlignment="1" applyProtection="1">
      <alignment horizontal="center"/>
      <protection hidden="1"/>
    </xf>
    <xf numFmtId="1" fontId="11" fillId="19" borderId="12" xfId="0" applyNumberFormat="1" applyFont="1" applyFill="1" applyBorder="1" applyAlignment="1" applyProtection="1">
      <alignment horizontal="center"/>
      <protection hidden="1"/>
    </xf>
    <xf numFmtId="0" fontId="11" fillId="19" borderId="12" xfId="0" applyFont="1" applyFill="1" applyBorder="1" applyAlignment="1" applyProtection="1">
      <alignment horizontal="center"/>
      <protection hidden="1"/>
    </xf>
    <xf numFmtId="0" fontId="11" fillId="19" borderId="6" xfId="0" applyFont="1" applyFill="1" applyBorder="1" applyAlignment="1" applyProtection="1">
      <alignment horizontal="center" vertical="center"/>
      <protection hidden="1"/>
    </xf>
    <xf numFmtId="0" fontId="11" fillId="19" borderId="7" xfId="0" applyFont="1" applyFill="1" applyBorder="1" applyProtection="1">
      <protection hidden="1"/>
    </xf>
    <xf numFmtId="0" fontId="11" fillId="19" borderId="15" xfId="0" applyFont="1" applyFill="1" applyBorder="1" applyAlignment="1" applyProtection="1">
      <alignment horizontal="center"/>
      <protection hidden="1"/>
    </xf>
    <xf numFmtId="1" fontId="11" fillId="19" borderId="15" xfId="0" applyNumberFormat="1" applyFont="1" applyFill="1" applyBorder="1" applyAlignment="1" applyProtection="1">
      <alignment horizontal="center"/>
      <protection hidden="1"/>
    </xf>
    <xf numFmtId="1" fontId="11" fillId="19" borderId="3" xfId="0" applyNumberFormat="1" applyFont="1" applyFill="1" applyBorder="1" applyAlignment="1" applyProtection="1">
      <alignment horizontal="center"/>
      <protection hidden="1"/>
    </xf>
    <xf numFmtId="0" fontId="11" fillId="19" borderId="3" xfId="0" applyFont="1" applyFill="1" applyBorder="1" applyAlignment="1" applyProtection="1">
      <alignment horizontal="center"/>
      <protection hidden="1"/>
    </xf>
    <xf numFmtId="1" fontId="11" fillId="19" borderId="7" xfId="0" applyNumberFormat="1" applyFont="1" applyFill="1" applyBorder="1" applyAlignment="1" applyProtection="1">
      <alignment horizontal="center"/>
      <protection hidden="1"/>
    </xf>
    <xf numFmtId="1" fontId="11" fillId="19" borderId="11" xfId="0" applyNumberFormat="1" applyFont="1" applyFill="1" applyBorder="1" applyAlignment="1" applyProtection="1">
      <alignment horizontal="center"/>
      <protection hidden="1"/>
    </xf>
    <xf numFmtId="0" fontId="11" fillId="19" borderId="7" xfId="0" applyFont="1" applyFill="1" applyBorder="1" applyAlignment="1" applyProtection="1">
      <alignment horizontal="center" vertical="center"/>
      <protection hidden="1"/>
    </xf>
    <xf numFmtId="12" fontId="11" fillId="19" borderId="0" xfId="0" applyNumberFormat="1" applyFont="1" applyFill="1" applyAlignment="1" applyProtection="1">
      <alignment vertical="center"/>
      <protection hidden="1"/>
    </xf>
    <xf numFmtId="0" fontId="11" fillId="19" borderId="0" xfId="0" applyFont="1" applyFill="1" applyAlignment="1" applyProtection="1">
      <alignment horizontal="center" vertical="center"/>
      <protection hidden="1"/>
    </xf>
    <xf numFmtId="0" fontId="11" fillId="19" borderId="0" xfId="0" applyFont="1" applyFill="1" applyAlignment="1" applyProtection="1">
      <alignment horizontal="center" vertical="center" textRotation="90"/>
      <protection hidden="1"/>
    </xf>
    <xf numFmtId="0" fontId="11" fillId="19" borderId="0" xfId="0" applyFont="1" applyFill="1" applyAlignment="1" applyProtection="1">
      <alignment vertical="center"/>
      <protection hidden="1"/>
    </xf>
    <xf numFmtId="0" fontId="16" fillId="32" borderId="0" xfId="0" applyFont="1" applyFill="1" applyAlignment="1" applyProtection="1">
      <alignment horizontal="center"/>
      <protection hidden="1"/>
    </xf>
    <xf numFmtId="0" fontId="11" fillId="32" borderId="0" xfId="0" applyFont="1" applyFill="1" applyAlignment="1" applyProtection="1">
      <alignment horizontal="center"/>
      <protection hidden="1"/>
    </xf>
    <xf numFmtId="0" fontId="11" fillId="4" borderId="0" xfId="0" applyFont="1" applyFill="1" applyProtection="1">
      <protection hidden="1"/>
    </xf>
    <xf numFmtId="0" fontId="16" fillId="10" borderId="0" xfId="0" applyFont="1" applyFill="1" applyAlignment="1" applyProtection="1">
      <alignment horizontal="center"/>
      <protection hidden="1"/>
    </xf>
    <xf numFmtId="0" fontId="11" fillId="28" borderId="0" xfId="0" applyFont="1" applyFill="1" applyAlignment="1" applyProtection="1">
      <alignment horizontal="center"/>
      <protection hidden="1"/>
    </xf>
    <xf numFmtId="0" fontId="16" fillId="28" borderId="0" xfId="0" applyFont="1" applyFill="1" applyAlignment="1" applyProtection="1">
      <alignment horizontal="left"/>
      <protection hidden="1"/>
    </xf>
    <xf numFmtId="1" fontId="11" fillId="28" borderId="0" xfId="0" applyNumberFormat="1" applyFont="1" applyFill="1" applyAlignment="1" applyProtection="1">
      <alignment horizontal="right"/>
      <protection hidden="1"/>
    </xf>
    <xf numFmtId="0" fontId="11" fillId="25" borderId="0" xfId="0" applyFont="1" applyFill="1" applyAlignment="1" applyProtection="1">
      <alignment horizontal="center"/>
      <protection hidden="1"/>
    </xf>
    <xf numFmtId="0" fontId="11" fillId="28" borderId="0" xfId="0" applyFont="1" applyFill="1" applyAlignment="1" applyProtection="1">
      <alignment horizontal="left"/>
      <protection hidden="1"/>
    </xf>
    <xf numFmtId="1" fontId="11" fillId="25" borderId="0" xfId="0" applyNumberFormat="1" applyFont="1" applyFill="1" applyAlignment="1" applyProtection="1">
      <alignment horizontal="center" vertical="center"/>
      <protection hidden="1"/>
    </xf>
    <xf numFmtId="0" fontId="72" fillId="27" borderId="0" xfId="0" applyFont="1" applyFill="1" applyAlignment="1" applyProtection="1">
      <alignment horizontal="left" indent="1"/>
      <protection hidden="1"/>
    </xf>
    <xf numFmtId="0" fontId="11" fillId="38" borderId="0" xfId="0" applyFont="1" applyFill="1" applyAlignment="1" applyProtection="1">
      <alignment horizontal="center"/>
      <protection hidden="1"/>
    </xf>
    <xf numFmtId="0" fontId="21" fillId="19" borderId="0" xfId="0" applyFont="1" applyFill="1" applyProtection="1">
      <protection hidden="1"/>
    </xf>
    <xf numFmtId="0" fontId="73" fillId="19" borderId="0" xfId="0" applyFont="1" applyFill="1" applyAlignment="1" applyProtection="1">
      <alignment vertical="center"/>
      <protection hidden="1"/>
    </xf>
    <xf numFmtId="0" fontId="65" fillId="13" borderId="2" xfId="0" applyFont="1" applyFill="1" applyBorder="1" applyAlignment="1" applyProtection="1">
      <alignment horizontal="center"/>
      <protection hidden="1"/>
    </xf>
    <xf numFmtId="0" fontId="65" fillId="13" borderId="2" xfId="0" applyFont="1" applyFill="1" applyBorder="1" applyAlignment="1" applyProtection="1">
      <alignment horizontal="left"/>
      <protection hidden="1"/>
    </xf>
    <xf numFmtId="0" fontId="64" fillId="13" borderId="2" xfId="0" applyFont="1" applyFill="1" applyBorder="1" applyAlignment="1" applyProtection="1">
      <alignment horizontal="center"/>
      <protection hidden="1"/>
    </xf>
    <xf numFmtId="0" fontId="64" fillId="13" borderId="0" xfId="0" applyFont="1" applyFill="1" applyAlignment="1" applyProtection="1">
      <alignment horizontal="left"/>
      <protection hidden="1"/>
    </xf>
    <xf numFmtId="0" fontId="64" fillId="13" borderId="3" xfId="0" applyFont="1" applyFill="1" applyBorder="1" applyAlignment="1" applyProtection="1">
      <alignment horizontal="center"/>
      <protection hidden="1"/>
    </xf>
    <xf numFmtId="0" fontId="64" fillId="13" borderId="3" xfId="0" applyFont="1" applyFill="1" applyBorder="1" applyAlignment="1" applyProtection="1">
      <alignment horizontal="left"/>
      <protection hidden="1"/>
    </xf>
    <xf numFmtId="0" fontId="65" fillId="2" borderId="1" xfId="0" applyFont="1" applyFill="1" applyBorder="1" applyAlignment="1" applyProtection="1">
      <alignment horizontal="left"/>
      <protection hidden="1"/>
    </xf>
    <xf numFmtId="0" fontId="64" fillId="13" borderId="0" xfId="0" applyFont="1" applyFill="1" applyAlignment="1" applyProtection="1">
      <alignment horizontal="right"/>
      <protection hidden="1"/>
    </xf>
    <xf numFmtId="0" fontId="65" fillId="13" borderId="0" xfId="0" applyFont="1" applyFill="1" applyAlignment="1" applyProtection="1">
      <alignment horizontal="left"/>
      <protection hidden="1"/>
    </xf>
    <xf numFmtId="0" fontId="53" fillId="20" borderId="0" xfId="0" applyFont="1" applyFill="1" applyAlignment="1" applyProtection="1">
      <alignment horizontal="center" vertical="center"/>
      <protection hidden="1"/>
    </xf>
    <xf numFmtId="0" fontId="52" fillId="13" borderId="3" xfId="0" applyFont="1" applyFill="1" applyBorder="1" applyAlignment="1" applyProtection="1">
      <alignment horizontal="center" vertical="center"/>
      <protection hidden="1"/>
    </xf>
    <xf numFmtId="0" fontId="64" fillId="13" borderId="11" xfId="0" applyFont="1" applyFill="1" applyBorder="1" applyAlignment="1" applyProtection="1">
      <alignment horizontal="center"/>
      <protection hidden="1"/>
    </xf>
    <xf numFmtId="0" fontId="15" fillId="2" borderId="0" xfId="0" applyFont="1" applyFill="1" applyProtection="1">
      <protection hidden="1"/>
    </xf>
    <xf numFmtId="0" fontId="18" fillId="2" borderId="0" xfId="0" applyFont="1" applyFill="1" applyProtection="1">
      <protection hidden="1"/>
    </xf>
    <xf numFmtId="0" fontId="61" fillId="2" borderId="0" xfId="0" applyFont="1" applyFill="1" applyProtection="1">
      <protection hidden="1"/>
    </xf>
    <xf numFmtId="0" fontId="60" fillId="2" borderId="0" xfId="0" applyFont="1" applyFill="1" applyProtection="1">
      <protection hidden="1"/>
    </xf>
    <xf numFmtId="0" fontId="62" fillId="2" borderId="0" xfId="0" applyFont="1" applyFill="1" applyProtection="1">
      <protection hidden="1"/>
    </xf>
    <xf numFmtId="0" fontId="5" fillId="2" borderId="4" xfId="0" applyFont="1" applyFill="1" applyBorder="1" applyAlignment="1" applyProtection="1">
      <alignment horizontal="right" vertical="top"/>
      <protection hidden="1"/>
    </xf>
    <xf numFmtId="0" fontId="2" fillId="2" borderId="4" xfId="0" applyFont="1" applyFill="1" applyBorder="1" applyAlignment="1" applyProtection="1">
      <alignment vertical="top"/>
      <protection hidden="1"/>
    </xf>
    <xf numFmtId="0" fontId="34" fillId="21" borderId="0" xfId="1" applyFont="1" applyFill="1" applyBorder="1" applyAlignment="1">
      <alignment horizontal="left"/>
    </xf>
    <xf numFmtId="0" fontId="0" fillId="21" borderId="0" xfId="0" applyFill="1"/>
    <xf numFmtId="0" fontId="1" fillId="21" borderId="0" xfId="0" applyFont="1" applyFill="1" applyAlignment="1" applyProtection="1">
      <alignment horizontal="left"/>
      <protection hidden="1"/>
    </xf>
    <xf numFmtId="0" fontId="2" fillId="21" borderId="0" xfId="0" applyFont="1" applyFill="1" applyAlignment="1" applyProtection="1">
      <alignment horizontal="left"/>
      <protection hidden="1"/>
    </xf>
    <xf numFmtId="0" fontId="1" fillId="21" borderId="0" xfId="0" applyFont="1" applyFill="1" applyProtection="1">
      <protection hidden="1"/>
    </xf>
    <xf numFmtId="0" fontId="75" fillId="2" borderId="4" xfId="0" applyFont="1" applyFill="1" applyBorder="1" applyAlignment="1" applyProtection="1">
      <alignment horizontal="left" vertical="top" indent="1"/>
      <protection hidden="1"/>
    </xf>
    <xf numFmtId="0" fontId="76" fillId="13" borderId="0" xfId="0" applyFont="1" applyFill="1" applyProtection="1">
      <protection hidden="1"/>
    </xf>
    <xf numFmtId="0" fontId="5" fillId="13" borderId="0" xfId="0" applyFont="1" applyFill="1" applyAlignment="1" applyProtection="1">
      <alignment horizontal="left" indent="1"/>
      <protection hidden="1"/>
    </xf>
    <xf numFmtId="0" fontId="49" fillId="13" borderId="0" xfId="0" applyFont="1" applyFill="1" applyAlignment="1" applyProtection="1">
      <alignment horizontal="center"/>
      <protection hidden="1"/>
    </xf>
    <xf numFmtId="0" fontId="5" fillId="13" borderId="0" xfId="0" applyFont="1" applyFill="1" applyAlignment="1" applyProtection="1">
      <alignment horizontal="left" indent="2"/>
      <protection hidden="1"/>
    </xf>
    <xf numFmtId="0" fontId="0" fillId="2" borderId="3" xfId="0" applyFill="1" applyBorder="1" applyAlignment="1" applyProtection="1">
      <alignment horizontal="left" indent="2"/>
      <protection hidden="1"/>
    </xf>
    <xf numFmtId="0" fontId="64" fillId="16" borderId="0" xfId="0" applyFont="1" applyFill="1" applyAlignment="1" applyProtection="1">
      <alignment horizontal="center"/>
      <protection hidden="1"/>
    </xf>
    <xf numFmtId="0" fontId="0" fillId="25" borderId="0" xfId="0" applyFill="1" applyProtection="1">
      <protection hidden="1"/>
    </xf>
    <xf numFmtId="0" fontId="1" fillId="25" borderId="0" xfId="0" applyFont="1" applyFill="1" applyProtection="1">
      <protection hidden="1"/>
    </xf>
    <xf numFmtId="0" fontId="2" fillId="25" borderId="0" xfId="0" applyFont="1" applyFill="1" applyAlignment="1" applyProtection="1">
      <alignment horizontal="right"/>
      <protection hidden="1"/>
    </xf>
    <xf numFmtId="0" fontId="77" fillId="5" borderId="0" xfId="0" applyFont="1" applyFill="1" applyAlignment="1" applyProtection="1">
      <alignment horizontal="center"/>
      <protection hidden="1"/>
    </xf>
    <xf numFmtId="0" fontId="78" fillId="5" borderId="0" xfId="0" applyFont="1" applyFill="1" applyAlignment="1" applyProtection="1">
      <alignment horizontal="center"/>
      <protection hidden="1"/>
    </xf>
    <xf numFmtId="0" fontId="79" fillId="5" borderId="0" xfId="0" applyFont="1" applyFill="1" applyProtection="1">
      <protection hidden="1"/>
    </xf>
    <xf numFmtId="0" fontId="0" fillId="0" borderId="0" xfId="0" applyAlignment="1">
      <alignment horizontal="center"/>
    </xf>
    <xf numFmtId="0" fontId="1" fillId="39" borderId="3" xfId="0" applyFont="1" applyFill="1" applyBorder="1" applyAlignment="1">
      <alignment horizontal="center"/>
    </xf>
    <xf numFmtId="0" fontId="1" fillId="39" borderId="3" xfId="0" applyFont="1" applyFill="1" applyBorder="1"/>
    <xf numFmtId="0" fontId="0" fillId="12" borderId="0" xfId="0" applyFill="1" applyAlignment="1">
      <alignment horizontal="center"/>
    </xf>
    <xf numFmtId="0" fontId="0" fillId="12" borderId="0" xfId="0" applyFill="1"/>
    <xf numFmtId="0" fontId="0" fillId="40" borderId="0" xfId="0" applyFill="1"/>
    <xf numFmtId="0" fontId="39" fillId="40" borderId="0" xfId="0" applyFont="1" applyFill="1" applyAlignment="1">
      <alignment horizontal="center"/>
    </xf>
    <xf numFmtId="0" fontId="39" fillId="12" borderId="0" xfId="0" applyFont="1" applyFill="1" applyAlignment="1">
      <alignment horizontal="center"/>
    </xf>
    <xf numFmtId="0" fontId="80" fillId="40" borderId="0" xfId="0" applyFont="1" applyFill="1" applyAlignment="1">
      <alignment horizontal="left"/>
    </xf>
    <xf numFmtId="0" fontId="11" fillId="12" borderId="0" xfId="0" applyFont="1" applyFill="1"/>
    <xf numFmtId="0" fontId="11" fillId="40" borderId="0" xfId="0" applyFont="1" applyFill="1"/>
    <xf numFmtId="0" fontId="81" fillId="40" borderId="0" xfId="0" applyFont="1" applyFill="1" applyAlignment="1">
      <alignment horizontal="center"/>
    </xf>
    <xf numFmtId="0" fontId="43" fillId="40" borderId="8" xfId="0" applyFont="1" applyFill="1" applyBorder="1"/>
    <xf numFmtId="0" fontId="43" fillId="40" borderId="0" xfId="0" applyFont="1" applyFill="1"/>
    <xf numFmtId="0" fontId="81" fillId="12" borderId="0" xfId="0" applyFont="1" applyFill="1" applyAlignment="1">
      <alignment horizontal="center"/>
    </xf>
    <xf numFmtId="0" fontId="43" fillId="12" borderId="8" xfId="0" applyFont="1" applyFill="1" applyBorder="1"/>
    <xf numFmtId="0" fontId="43" fillId="12" borderId="0" xfId="0" applyFont="1" applyFill="1"/>
    <xf numFmtId="0" fontId="80" fillId="40" borderId="0" xfId="0" applyFont="1" applyFill="1" applyAlignment="1">
      <alignment horizontal="center"/>
    </xf>
    <xf numFmtId="0" fontId="1" fillId="40" borderId="0" xfId="0" applyFont="1" applyFill="1"/>
    <xf numFmtId="0" fontId="80" fillId="12" borderId="0" xfId="0" applyFont="1" applyFill="1" applyAlignment="1">
      <alignment horizontal="center"/>
    </xf>
    <xf numFmtId="0" fontId="1" fillId="12" borderId="0" xfId="0" applyFont="1" applyFill="1"/>
    <xf numFmtId="0" fontId="84" fillId="40" borderId="0" xfId="0" applyFont="1" applyFill="1" applyAlignment="1">
      <alignment horizontal="center"/>
    </xf>
    <xf numFmtId="0" fontId="84" fillId="12" borderId="0" xfId="0" applyFont="1" applyFill="1" applyAlignment="1">
      <alignment horizontal="center"/>
    </xf>
    <xf numFmtId="0" fontId="85" fillId="40" borderId="0" xfId="0" applyFont="1" applyFill="1" applyAlignment="1">
      <alignment horizontal="center"/>
    </xf>
    <xf numFmtId="0" fontId="85" fillId="12" borderId="0" xfId="0" applyFont="1" applyFill="1" applyAlignment="1">
      <alignment horizontal="center"/>
    </xf>
    <xf numFmtId="0" fontId="8" fillId="40" borderId="0" xfId="0" applyFont="1" applyFill="1"/>
    <xf numFmtId="0" fontId="8" fillId="12" borderId="0" xfId="0" applyFont="1" applyFill="1"/>
    <xf numFmtId="0" fontId="87" fillId="39" borderId="0" xfId="0" applyFont="1" applyFill="1"/>
    <xf numFmtId="0" fontId="86" fillId="39" borderId="8" xfId="0" applyFont="1" applyFill="1" applyBorder="1" applyAlignment="1">
      <alignment horizontal="left" indent="1"/>
    </xf>
    <xf numFmtId="0" fontId="86" fillId="39" borderId="0" xfId="0" applyFont="1" applyFill="1" applyAlignment="1">
      <alignment horizontal="left" indent="1"/>
    </xf>
    <xf numFmtId="0" fontId="16" fillId="39" borderId="3" xfId="0" applyFont="1" applyFill="1" applyBorder="1" applyAlignment="1">
      <alignment horizontal="center"/>
    </xf>
    <xf numFmtId="0" fontId="16" fillId="39" borderId="3" xfId="0" applyFont="1" applyFill="1" applyBorder="1"/>
    <xf numFmtId="0" fontId="11" fillId="12" borderId="0" xfId="0" applyFont="1" applyFill="1" applyAlignment="1">
      <alignment horizontal="center"/>
    </xf>
    <xf numFmtId="0" fontId="89" fillId="40" borderId="0" xfId="0" applyFont="1" applyFill="1" applyAlignment="1">
      <alignment horizontal="left"/>
    </xf>
    <xf numFmtId="0" fontId="89" fillId="40" borderId="0" xfId="0" applyFont="1" applyFill="1" applyAlignment="1">
      <alignment horizontal="center"/>
    </xf>
    <xf numFmtId="0" fontId="16" fillId="40" borderId="0" xfId="0" applyFont="1" applyFill="1"/>
    <xf numFmtId="0" fontId="89" fillId="12" borderId="0" xfId="0" applyFont="1" applyFill="1" applyAlignment="1">
      <alignment horizontal="center"/>
    </xf>
    <xf numFmtId="0" fontId="16" fillId="12" borderId="0" xfId="0" applyFont="1" applyFill="1"/>
    <xf numFmtId="0" fontId="11" fillId="0" borderId="0" xfId="0" applyFont="1" applyAlignment="1">
      <alignment horizontal="center"/>
    </xf>
    <xf numFmtId="0" fontId="11" fillId="0" borderId="0" xfId="0" applyFont="1"/>
    <xf numFmtId="0" fontId="90" fillId="12" borderId="0" xfId="0" applyFont="1" applyFill="1" applyAlignment="1">
      <alignment horizontal="center"/>
    </xf>
    <xf numFmtId="0" fontId="91" fillId="12" borderId="0" xfId="0" applyFont="1" applyFill="1"/>
    <xf numFmtId="0" fontId="90" fillId="40" borderId="0" xfId="0" applyFont="1" applyFill="1" applyAlignment="1">
      <alignment horizontal="center"/>
    </xf>
    <xf numFmtId="0" fontId="91" fillId="40" borderId="0" xfId="0" applyFont="1" applyFill="1"/>
    <xf numFmtId="0" fontId="2" fillId="2" borderId="0" xfId="0" applyFont="1" applyFill="1" applyAlignment="1" applyProtection="1">
      <alignment horizontal="right" vertical="top" wrapText="1"/>
      <protection hidden="1"/>
    </xf>
    <xf numFmtId="0" fontId="2" fillId="2" borderId="0" xfId="0" applyFont="1" applyFill="1" applyAlignment="1" applyProtection="1">
      <alignment horizontal="left" vertical="top"/>
      <protection hidden="1"/>
    </xf>
    <xf numFmtId="0" fontId="41" fillId="4" borderId="0" xfId="0" applyFont="1" applyFill="1" applyProtection="1">
      <protection hidden="1"/>
    </xf>
    <xf numFmtId="0" fontId="2" fillId="6" borderId="0" xfId="0" applyFont="1" applyFill="1" applyProtection="1">
      <protection hidden="1"/>
    </xf>
    <xf numFmtId="0" fontId="21" fillId="4" borderId="0" xfId="0" applyFont="1" applyFill="1" applyProtection="1">
      <protection hidden="1"/>
    </xf>
    <xf numFmtId="0" fontId="9" fillId="5" borderId="3" xfId="0" applyFont="1" applyFill="1" applyBorder="1" applyProtection="1">
      <protection hidden="1"/>
    </xf>
    <xf numFmtId="0" fontId="2" fillId="3" borderId="0" xfId="0" applyFont="1" applyFill="1" applyProtection="1">
      <protection hidden="1"/>
    </xf>
    <xf numFmtId="0" fontId="2" fillId="30" borderId="0" xfId="0" applyFont="1" applyFill="1" applyProtection="1">
      <protection hidden="1"/>
    </xf>
    <xf numFmtId="0" fontId="9" fillId="30" borderId="0" xfId="0" applyFont="1" applyFill="1" applyAlignment="1" applyProtection="1">
      <alignment horizontal="left"/>
      <protection hidden="1"/>
    </xf>
    <xf numFmtId="0" fontId="11" fillId="13" borderId="3" xfId="0" applyFont="1" applyFill="1" applyBorder="1" applyProtection="1">
      <protection hidden="1"/>
    </xf>
    <xf numFmtId="0" fontId="1" fillId="13" borderId="2" xfId="0" applyFont="1" applyFill="1" applyBorder="1" applyAlignment="1" applyProtection="1">
      <alignment horizontal="center"/>
      <protection hidden="1"/>
    </xf>
    <xf numFmtId="0" fontId="2" fillId="13" borderId="2" xfId="0" applyFont="1" applyFill="1" applyBorder="1" applyProtection="1">
      <protection hidden="1"/>
    </xf>
    <xf numFmtId="0" fontId="0" fillId="13" borderId="2" xfId="0" applyFill="1" applyBorder="1" applyAlignment="1" applyProtection="1">
      <alignment horizontal="center"/>
      <protection hidden="1"/>
    </xf>
    <xf numFmtId="0" fontId="2" fillId="2" borderId="0" xfId="0" applyFont="1" applyFill="1" applyAlignment="1" applyProtection="1">
      <alignment vertical="top" wrapText="1"/>
      <protection hidden="1"/>
    </xf>
    <xf numFmtId="0" fontId="32" fillId="21" borderId="0" xfId="0" applyFont="1" applyFill="1" applyAlignment="1" applyProtection="1">
      <alignment horizontal="center" vertical="top" wrapText="1"/>
      <protection hidden="1"/>
    </xf>
    <xf numFmtId="0" fontId="94" fillId="2" borderId="0" xfId="0" applyFont="1" applyFill="1" applyAlignment="1" applyProtection="1">
      <alignment horizontal="right" vertical="center" indent="2"/>
      <protection hidden="1"/>
    </xf>
    <xf numFmtId="0" fontId="54" fillId="5" borderId="0" xfId="0" applyFont="1" applyFill="1" applyAlignment="1" applyProtection="1">
      <alignment horizontal="center"/>
      <protection hidden="1"/>
    </xf>
    <xf numFmtId="0" fontId="11" fillId="5" borderId="0" xfId="0" applyFont="1" applyFill="1" applyAlignment="1" applyProtection="1">
      <alignment horizontal="left"/>
      <protection hidden="1"/>
    </xf>
    <xf numFmtId="0" fontId="19" fillId="4" borderId="0" xfId="0" applyFont="1" applyFill="1" applyAlignment="1" applyProtection="1">
      <alignment horizontal="left" vertical="center"/>
      <protection hidden="1"/>
    </xf>
    <xf numFmtId="0" fontId="21" fillId="4" borderId="0" xfId="0" applyFont="1" applyFill="1" applyAlignment="1" applyProtection="1">
      <alignment horizontal="left" vertical="center"/>
      <protection hidden="1"/>
    </xf>
    <xf numFmtId="0" fontId="0" fillId="14" borderId="0" xfId="0" applyFill="1" applyAlignment="1" applyProtection="1">
      <alignment wrapText="1"/>
      <protection hidden="1"/>
    </xf>
    <xf numFmtId="0" fontId="1" fillId="2" borderId="1" xfId="0" applyFont="1" applyFill="1" applyBorder="1" applyAlignment="1" applyProtection="1">
      <alignment horizontal="right" indent="1"/>
      <protection hidden="1"/>
    </xf>
    <xf numFmtId="0" fontId="1" fillId="5" borderId="0" xfId="0" applyFont="1" applyFill="1" applyAlignment="1" applyProtection="1">
      <alignment horizontal="center"/>
      <protection hidden="1"/>
    </xf>
    <xf numFmtId="0" fontId="95" fillId="16" borderId="0" xfId="0" applyFont="1" applyFill="1" applyProtection="1">
      <protection hidden="1"/>
    </xf>
    <xf numFmtId="0" fontId="0" fillId="16" borderId="12" xfId="0" applyFill="1" applyBorder="1" applyProtection="1">
      <protection hidden="1"/>
    </xf>
    <xf numFmtId="0" fontId="96" fillId="16" borderId="12" xfId="0" applyFont="1" applyFill="1" applyBorder="1" applyProtection="1">
      <protection hidden="1"/>
    </xf>
    <xf numFmtId="0" fontId="95" fillId="16" borderId="12" xfId="0" applyFont="1" applyFill="1" applyBorder="1" applyProtection="1">
      <protection hidden="1"/>
    </xf>
    <xf numFmtId="0" fontId="96" fillId="16" borderId="8" xfId="0" applyFont="1" applyFill="1" applyBorder="1" applyProtection="1">
      <protection hidden="1"/>
    </xf>
    <xf numFmtId="0" fontId="95" fillId="16" borderId="8" xfId="0" applyFont="1" applyFill="1" applyBorder="1" applyProtection="1">
      <protection hidden="1"/>
    </xf>
    <xf numFmtId="0" fontId="38" fillId="4" borderId="0" xfId="0" applyFont="1" applyFill="1" applyAlignment="1" applyProtection="1">
      <alignment vertical="center"/>
      <protection hidden="1"/>
    </xf>
    <xf numFmtId="0" fontId="59" fillId="4" borderId="0" xfId="0" applyFont="1" applyFill="1" applyAlignment="1" applyProtection="1">
      <alignment horizontal="left" vertical="center"/>
      <protection hidden="1"/>
    </xf>
    <xf numFmtId="0" fontId="1" fillId="4" borderId="0" xfId="0" applyFont="1" applyFill="1" applyAlignment="1" applyProtection="1">
      <alignment vertical="center"/>
      <protection hidden="1"/>
    </xf>
    <xf numFmtId="0" fontId="43" fillId="12" borderId="0" xfId="0" applyFont="1" applyFill="1" applyAlignment="1">
      <alignment horizontal="center"/>
    </xf>
    <xf numFmtId="0" fontId="43" fillId="40" borderId="0" xfId="0" applyFont="1" applyFill="1" applyAlignment="1">
      <alignment horizontal="center"/>
    </xf>
    <xf numFmtId="0" fontId="0" fillId="14" borderId="0" xfId="0" applyFill="1" applyAlignment="1" applyProtection="1">
      <alignment horizontal="center"/>
      <protection hidden="1"/>
    </xf>
    <xf numFmtId="0" fontId="21" fillId="5" borderId="0" xfId="0" applyFont="1" applyFill="1" applyProtection="1">
      <protection hidden="1"/>
    </xf>
    <xf numFmtId="0" fontId="19" fillId="5" borderId="0" xfId="0" applyFont="1" applyFill="1" applyProtection="1">
      <protection hidden="1"/>
    </xf>
    <xf numFmtId="0" fontId="19" fillId="5" borderId="0" xfId="0" applyFont="1" applyFill="1" applyAlignment="1" applyProtection="1">
      <alignment horizontal="left"/>
      <protection hidden="1"/>
    </xf>
    <xf numFmtId="0" fontId="73" fillId="5" borderId="0" xfId="0" applyFont="1" applyFill="1" applyProtection="1">
      <protection hidden="1"/>
    </xf>
    <xf numFmtId="0" fontId="2" fillId="2" borderId="1" xfId="0" applyFont="1" applyFill="1" applyBorder="1" applyAlignment="1" applyProtection="1">
      <alignment horizontal="right"/>
      <protection locked="0" hidden="1"/>
    </xf>
    <xf numFmtId="0" fontId="43" fillId="10" borderId="0" xfId="0" applyFont="1" applyFill="1" applyProtection="1">
      <protection hidden="1"/>
    </xf>
    <xf numFmtId="0" fontId="2" fillId="10" borderId="0" xfId="0" applyFont="1" applyFill="1" applyAlignment="1" applyProtection="1">
      <alignment horizontal="right"/>
      <protection hidden="1"/>
    </xf>
    <xf numFmtId="0" fontId="1" fillId="10" borderId="0" xfId="0" applyFont="1" applyFill="1" applyAlignment="1" applyProtection="1">
      <alignment horizontal="left"/>
      <protection hidden="1"/>
    </xf>
    <xf numFmtId="0" fontId="0" fillId="10" borderId="3" xfId="0" applyFill="1" applyBorder="1" applyProtection="1">
      <protection hidden="1"/>
    </xf>
    <xf numFmtId="0" fontId="20" fillId="16" borderId="0" xfId="0" applyFont="1" applyFill="1" applyAlignment="1" applyProtection="1">
      <alignment horizontal="center"/>
      <protection hidden="1"/>
    </xf>
    <xf numFmtId="0" fontId="2" fillId="14" borderId="0" xfId="0" applyFont="1" applyFill="1" applyAlignment="1" applyProtection="1">
      <alignment horizontal="left"/>
      <protection hidden="1"/>
    </xf>
    <xf numFmtId="0" fontId="1" fillId="6" borderId="12" xfId="0" applyFont="1" applyFill="1" applyBorder="1" applyAlignment="1" applyProtection="1">
      <alignment horizontal="center"/>
      <protection hidden="1"/>
    </xf>
    <xf numFmtId="0" fontId="0" fillId="2" borderId="10" xfId="0" applyFill="1" applyBorder="1" applyAlignment="1" applyProtection="1">
      <alignment horizontal="center"/>
      <protection hidden="1"/>
    </xf>
    <xf numFmtId="0" fontId="0" fillId="2" borderId="1" xfId="0" applyFill="1" applyBorder="1" applyAlignment="1" applyProtection="1">
      <alignment horizontal="left"/>
      <protection hidden="1"/>
    </xf>
    <xf numFmtId="0" fontId="1" fillId="15" borderId="8" xfId="0" applyFont="1" applyFill="1" applyBorder="1" applyAlignment="1" applyProtection="1">
      <alignment horizontal="center"/>
      <protection hidden="1"/>
    </xf>
    <xf numFmtId="0" fontId="1" fillId="3" borderId="8" xfId="0" applyFont="1" applyFill="1" applyBorder="1" applyAlignment="1" applyProtection="1">
      <alignment horizontal="left" indent="1"/>
      <protection hidden="1"/>
    </xf>
    <xf numFmtId="0" fontId="39" fillId="3" borderId="8" xfId="0" applyFont="1" applyFill="1" applyBorder="1" applyAlignment="1" applyProtection="1">
      <alignment horizontal="left" vertical="top" indent="2"/>
      <protection hidden="1"/>
    </xf>
    <xf numFmtId="0" fontId="2" fillId="3" borderId="8" xfId="0" applyFont="1" applyFill="1" applyBorder="1" applyAlignment="1" applyProtection="1">
      <alignment horizontal="left" vertical="top" indent="2"/>
      <protection hidden="1"/>
    </xf>
    <xf numFmtId="0" fontId="40" fillId="3" borderId="0" xfId="0" applyFont="1" applyFill="1" applyAlignment="1" applyProtection="1">
      <alignment horizontal="left" indent="1"/>
      <protection hidden="1"/>
    </xf>
    <xf numFmtId="0" fontId="37" fillId="3" borderId="0" xfId="0" applyFont="1" applyFill="1" applyAlignment="1" applyProtection="1">
      <alignment horizontal="left" vertical="top" indent="2"/>
      <protection hidden="1"/>
    </xf>
    <xf numFmtId="0" fontId="89" fillId="10" borderId="37" xfId="0" applyFont="1" applyFill="1" applyBorder="1" applyAlignment="1">
      <alignment horizontal="right"/>
    </xf>
    <xf numFmtId="0" fontId="16" fillId="10" borderId="38" xfId="0" applyFont="1" applyFill="1" applyBorder="1" applyAlignment="1">
      <alignment horizontal="left"/>
    </xf>
    <xf numFmtId="0" fontId="11" fillId="10" borderId="37" xfId="0" applyFont="1" applyFill="1" applyBorder="1"/>
    <xf numFmtId="0" fontId="11" fillId="10" borderId="39" xfId="0" applyFont="1" applyFill="1" applyBorder="1" applyAlignment="1">
      <alignment horizontal="left"/>
    </xf>
    <xf numFmtId="0" fontId="84" fillId="10" borderId="40" xfId="0" applyFont="1" applyFill="1" applyBorder="1" applyAlignment="1">
      <alignment horizontal="right"/>
    </xf>
    <xf numFmtId="0" fontId="11" fillId="10" borderId="41" xfId="0" applyFont="1" applyFill="1" applyBorder="1" applyAlignment="1">
      <alignment horizontal="left"/>
    </xf>
    <xf numFmtId="0" fontId="11" fillId="10" borderId="40" xfId="0" applyFont="1" applyFill="1" applyBorder="1"/>
    <xf numFmtId="0" fontId="11" fillId="10" borderId="42" xfId="0" applyFont="1" applyFill="1" applyBorder="1" applyAlignment="1">
      <alignment horizontal="left"/>
    </xf>
    <xf numFmtId="0" fontId="84" fillId="10" borderId="43" xfId="0" applyFont="1" applyFill="1" applyBorder="1" applyAlignment="1">
      <alignment horizontal="right"/>
    </xf>
    <xf numFmtId="0" fontId="11" fillId="10" borderId="44" xfId="0" applyFont="1" applyFill="1" applyBorder="1" applyAlignment="1">
      <alignment horizontal="left"/>
    </xf>
    <xf numFmtId="0" fontId="11" fillId="10" borderId="43" xfId="0" applyFont="1" applyFill="1" applyBorder="1"/>
    <xf numFmtId="0" fontId="11" fillId="10" borderId="45" xfId="0" applyFont="1" applyFill="1" applyBorder="1" applyAlignment="1">
      <alignment horizontal="left"/>
    </xf>
    <xf numFmtId="0" fontId="89" fillId="20" borderId="37" xfId="0" applyFont="1" applyFill="1" applyBorder="1" applyAlignment="1">
      <alignment horizontal="right"/>
    </xf>
    <xf numFmtId="0" fontId="16" fillId="20" borderId="38" xfId="0" applyFont="1" applyFill="1" applyBorder="1" applyAlignment="1">
      <alignment horizontal="left"/>
    </xf>
    <xf numFmtId="0" fontId="11" fillId="20" borderId="37" xfId="0" applyFont="1" applyFill="1" applyBorder="1"/>
    <xf numFmtId="0" fontId="11" fillId="20" borderId="39" xfId="0" applyFont="1" applyFill="1" applyBorder="1" applyAlignment="1">
      <alignment horizontal="left"/>
    </xf>
    <xf numFmtId="0" fontId="84" fillId="20" borderId="40" xfId="0" applyFont="1" applyFill="1" applyBorder="1" applyAlignment="1">
      <alignment horizontal="right"/>
    </xf>
    <xf numFmtId="0" fontId="11" fillId="20" borderId="41" xfId="0" applyFont="1" applyFill="1" applyBorder="1" applyAlignment="1">
      <alignment horizontal="left"/>
    </xf>
    <xf numFmtId="0" fontId="11" fillId="20" borderId="40" xfId="0" applyFont="1" applyFill="1" applyBorder="1"/>
    <xf numFmtId="0" fontId="11" fillId="20" borderId="42" xfId="0" applyFont="1" applyFill="1" applyBorder="1" applyAlignment="1">
      <alignment horizontal="left"/>
    </xf>
    <xf numFmtId="0" fontId="84" fillId="20" borderId="43" xfId="0" applyFont="1" applyFill="1" applyBorder="1" applyAlignment="1">
      <alignment horizontal="right"/>
    </xf>
    <xf numFmtId="0" fontId="11" fillId="20" borderId="44" xfId="0" applyFont="1" applyFill="1" applyBorder="1" applyAlignment="1">
      <alignment horizontal="left"/>
    </xf>
    <xf numFmtId="0" fontId="11" fillId="20" borderId="43" xfId="0" applyFont="1" applyFill="1" applyBorder="1"/>
    <xf numFmtId="0" fontId="11" fillId="20" borderId="45" xfId="0" applyFont="1" applyFill="1" applyBorder="1" applyAlignment="1">
      <alignment horizontal="left"/>
    </xf>
    <xf numFmtId="0" fontId="43" fillId="0" borderId="0" xfId="0" applyFont="1"/>
    <xf numFmtId="0" fontId="81" fillId="10" borderId="13" xfId="0" applyFont="1" applyFill="1" applyBorder="1" applyAlignment="1">
      <alignment horizontal="center"/>
    </xf>
    <xf numFmtId="0" fontId="43" fillId="10" borderId="2" xfId="0" applyFont="1" applyFill="1" applyBorder="1" applyAlignment="1">
      <alignment horizontal="center"/>
    </xf>
    <xf numFmtId="0" fontId="81" fillId="10" borderId="15" xfId="0" applyFont="1" applyFill="1" applyBorder="1" applyAlignment="1">
      <alignment horizontal="center"/>
    </xf>
    <xf numFmtId="0" fontId="43" fillId="10" borderId="3" xfId="0" applyFont="1" applyFill="1" applyBorder="1" applyAlignment="1">
      <alignment horizontal="center"/>
    </xf>
    <xf numFmtId="0" fontId="11" fillId="21" borderId="46" xfId="0" applyFont="1" applyFill="1" applyBorder="1" applyAlignment="1">
      <alignment horizontal="center"/>
    </xf>
    <xf numFmtId="0" fontId="11" fillId="11" borderId="46" xfId="0" applyFont="1" applyFill="1" applyBorder="1" applyAlignment="1">
      <alignment horizontal="center"/>
    </xf>
    <xf numFmtId="0" fontId="11" fillId="21" borderId="47" xfId="0" applyFont="1" applyFill="1" applyBorder="1" applyAlignment="1">
      <alignment horizontal="center"/>
    </xf>
    <xf numFmtId="0" fontId="11" fillId="11" borderId="47" xfId="0" applyFont="1" applyFill="1" applyBorder="1" applyAlignment="1">
      <alignment horizontal="center"/>
    </xf>
    <xf numFmtId="0" fontId="11" fillId="21" borderId="48" xfId="0" applyFont="1" applyFill="1" applyBorder="1" applyAlignment="1">
      <alignment horizontal="center"/>
    </xf>
    <xf numFmtId="0" fontId="11" fillId="11" borderId="48" xfId="0" applyFont="1" applyFill="1" applyBorder="1" applyAlignment="1">
      <alignment horizontal="center"/>
    </xf>
    <xf numFmtId="0" fontId="3" fillId="7" borderId="0" xfId="0" applyFont="1" applyFill="1" applyAlignment="1" applyProtection="1">
      <alignment horizontal="left"/>
      <protection hidden="1"/>
    </xf>
    <xf numFmtId="0" fontId="65" fillId="5" borderId="0" xfId="0" applyFont="1" applyFill="1" applyAlignment="1" applyProtection="1">
      <alignment horizontal="left" vertical="center"/>
      <protection hidden="1"/>
    </xf>
    <xf numFmtId="0" fontId="3" fillId="7" borderId="0" xfId="0" applyFont="1" applyFill="1" applyProtection="1">
      <protection hidden="1"/>
    </xf>
    <xf numFmtId="1" fontId="5" fillId="2" borderId="4" xfId="0" applyNumberFormat="1" applyFont="1" applyFill="1" applyBorder="1" applyProtection="1">
      <protection hidden="1"/>
    </xf>
    <xf numFmtId="0" fontId="94" fillId="2" borderId="4" xfId="0" applyFont="1" applyFill="1" applyBorder="1" applyAlignment="1" applyProtection="1">
      <alignment horizontal="right" vertical="center"/>
      <protection hidden="1"/>
    </xf>
    <xf numFmtId="20" fontId="2" fillId="3" borderId="4" xfId="0" applyNumberFormat="1" applyFont="1" applyFill="1" applyBorder="1" applyProtection="1">
      <protection locked="0"/>
    </xf>
    <xf numFmtId="49" fontId="2" fillId="3" borderId="4" xfId="0" applyNumberFormat="1" applyFont="1" applyFill="1" applyBorder="1" applyAlignment="1" applyProtection="1">
      <alignment horizontal="left"/>
      <protection locked="0" hidden="1"/>
    </xf>
    <xf numFmtId="0" fontId="92" fillId="5" borderId="13" xfId="0" applyFont="1" applyFill="1" applyBorder="1" applyProtection="1">
      <protection hidden="1"/>
    </xf>
    <xf numFmtId="0" fontId="17" fillId="5" borderId="5" xfId="0" applyFont="1" applyFill="1" applyBorder="1" applyAlignment="1" applyProtection="1">
      <alignment horizontal="center"/>
      <protection hidden="1"/>
    </xf>
    <xf numFmtId="0" fontId="17" fillId="5" borderId="6" xfId="0" applyFont="1" applyFill="1" applyBorder="1" applyAlignment="1" applyProtection="1">
      <alignment horizontal="center"/>
      <protection hidden="1"/>
    </xf>
    <xf numFmtId="0" fontId="11" fillId="5" borderId="6" xfId="0" applyFont="1" applyFill="1" applyBorder="1" applyAlignment="1" applyProtection="1">
      <alignment horizontal="center"/>
      <protection hidden="1"/>
    </xf>
    <xf numFmtId="0" fontId="17" fillId="5" borderId="0" xfId="0" applyFont="1" applyFill="1" applyProtection="1">
      <protection hidden="1"/>
    </xf>
    <xf numFmtId="0" fontId="0" fillId="5" borderId="8" xfId="0" applyFill="1" applyBorder="1" applyAlignment="1" applyProtection="1">
      <alignment horizontal="center"/>
      <protection hidden="1"/>
    </xf>
    <xf numFmtId="0" fontId="0" fillId="5" borderId="15" xfId="0" applyFill="1" applyBorder="1" applyAlignment="1" applyProtection="1">
      <alignment horizontal="center"/>
      <protection hidden="1"/>
    </xf>
    <xf numFmtId="0" fontId="0" fillId="5" borderId="13" xfId="0" applyFill="1" applyBorder="1" applyAlignment="1" applyProtection="1">
      <alignment horizontal="center"/>
      <protection hidden="1"/>
    </xf>
    <xf numFmtId="0" fontId="0" fillId="5" borderId="14" xfId="0" applyFill="1" applyBorder="1" applyAlignment="1" applyProtection="1">
      <alignment horizontal="left"/>
      <protection hidden="1"/>
    </xf>
    <xf numFmtId="0" fontId="0" fillId="5" borderId="12" xfId="0" applyFill="1" applyBorder="1" applyAlignment="1" applyProtection="1">
      <alignment horizontal="left"/>
      <protection hidden="1"/>
    </xf>
    <xf numFmtId="0" fontId="0" fillId="5" borderId="11" xfId="0" applyFill="1" applyBorder="1" applyAlignment="1" applyProtection="1">
      <alignment horizontal="left"/>
      <protection hidden="1"/>
    </xf>
    <xf numFmtId="0" fontId="17" fillId="5" borderId="8" xfId="0" applyFont="1" applyFill="1" applyBorder="1" applyProtection="1">
      <protection hidden="1"/>
    </xf>
    <xf numFmtId="0" fontId="17" fillId="5" borderId="12" xfId="0" applyFont="1" applyFill="1" applyBorder="1" applyProtection="1">
      <protection hidden="1"/>
    </xf>
    <xf numFmtId="0" fontId="92" fillId="42" borderId="13" xfId="0" applyFont="1" applyFill="1" applyBorder="1" applyProtection="1">
      <protection hidden="1"/>
    </xf>
    <xf numFmtId="0" fontId="54" fillId="42" borderId="14" xfId="0" applyFont="1" applyFill="1" applyBorder="1" applyAlignment="1" applyProtection="1">
      <alignment horizontal="center"/>
      <protection hidden="1"/>
    </xf>
    <xf numFmtId="0" fontId="11" fillId="42" borderId="8" xfId="0" applyFont="1" applyFill="1" applyBorder="1" applyProtection="1">
      <protection hidden="1"/>
    </xf>
    <xf numFmtId="0" fontId="11" fillId="42" borderId="12" xfId="0" applyFont="1" applyFill="1" applyBorder="1" applyAlignment="1" applyProtection="1">
      <alignment horizontal="center"/>
      <protection hidden="1"/>
    </xf>
    <xf numFmtId="0" fontId="17" fillId="42" borderId="5" xfId="0" applyFont="1" applyFill="1" applyBorder="1" applyAlignment="1" applyProtection="1">
      <alignment horizontal="center"/>
      <protection hidden="1"/>
    </xf>
    <xf numFmtId="0" fontId="17" fillId="42" borderId="6" xfId="0" applyFont="1" applyFill="1" applyBorder="1" applyAlignment="1" applyProtection="1">
      <alignment horizontal="center"/>
      <protection hidden="1"/>
    </xf>
    <xf numFmtId="0" fontId="11" fillId="42" borderId="6" xfId="0" applyFont="1" applyFill="1" applyBorder="1" applyAlignment="1" applyProtection="1">
      <alignment horizontal="center"/>
      <protection hidden="1"/>
    </xf>
    <xf numFmtId="0" fontId="11" fillId="42" borderId="7" xfId="0" applyFont="1" applyFill="1" applyBorder="1" applyAlignment="1" applyProtection="1">
      <alignment horizontal="center"/>
      <protection hidden="1"/>
    </xf>
    <xf numFmtId="0" fontId="92" fillId="23" borderId="13" xfId="0" applyFont="1" applyFill="1" applyBorder="1" applyProtection="1">
      <protection hidden="1"/>
    </xf>
    <xf numFmtId="0" fontId="54" fillId="23" borderId="14" xfId="0" applyFont="1" applyFill="1" applyBorder="1" applyAlignment="1" applyProtection="1">
      <alignment horizontal="center"/>
      <protection hidden="1"/>
    </xf>
    <xf numFmtId="0" fontId="17" fillId="23" borderId="5" xfId="0" applyFont="1" applyFill="1" applyBorder="1" applyAlignment="1" applyProtection="1">
      <alignment horizontal="center"/>
      <protection hidden="1"/>
    </xf>
    <xf numFmtId="0" fontId="11" fillId="23" borderId="8" xfId="0" applyFont="1" applyFill="1" applyBorder="1" applyProtection="1">
      <protection hidden="1"/>
    </xf>
    <xf numFmtId="0" fontId="11" fillId="23" borderId="12" xfId="0" applyFont="1" applyFill="1" applyBorder="1" applyAlignment="1" applyProtection="1">
      <alignment horizontal="center"/>
      <protection hidden="1"/>
    </xf>
    <xf numFmtId="0" fontId="17" fillId="23" borderId="6" xfId="0" applyFont="1" applyFill="1" applyBorder="1" applyAlignment="1" applyProtection="1">
      <alignment horizontal="center"/>
      <protection hidden="1"/>
    </xf>
    <xf numFmtId="0" fontId="11" fillId="23" borderId="6" xfId="0" applyFont="1" applyFill="1" applyBorder="1" applyAlignment="1" applyProtection="1">
      <alignment horizontal="center"/>
      <protection hidden="1"/>
    </xf>
    <xf numFmtId="0" fontId="11" fillId="23" borderId="7" xfId="0" applyFont="1" applyFill="1" applyBorder="1" applyAlignment="1" applyProtection="1">
      <alignment horizontal="center"/>
      <protection hidden="1"/>
    </xf>
    <xf numFmtId="0" fontId="92" fillId="43" borderId="13" xfId="0" applyFont="1" applyFill="1" applyBorder="1" applyProtection="1">
      <protection hidden="1"/>
    </xf>
    <xf numFmtId="0" fontId="54" fillId="43" borderId="14" xfId="0" applyFont="1" applyFill="1" applyBorder="1" applyAlignment="1" applyProtection="1">
      <alignment horizontal="center"/>
      <protection hidden="1"/>
    </xf>
    <xf numFmtId="0" fontId="11" fillId="43" borderId="8" xfId="0" applyFont="1" applyFill="1" applyBorder="1" applyProtection="1">
      <protection hidden="1"/>
    </xf>
    <xf numFmtId="0" fontId="11" fillId="43" borderId="12" xfId="0" applyFont="1" applyFill="1" applyBorder="1" applyAlignment="1" applyProtection="1">
      <alignment horizontal="center"/>
      <protection hidden="1"/>
    </xf>
    <xf numFmtId="0" fontId="92" fillId="44" borderId="13" xfId="0" applyFont="1" applyFill="1" applyBorder="1" applyProtection="1">
      <protection hidden="1"/>
    </xf>
    <xf numFmtId="0" fontId="54" fillId="44" borderId="14" xfId="0" applyFont="1" applyFill="1" applyBorder="1" applyAlignment="1" applyProtection="1">
      <alignment horizontal="center"/>
      <protection hidden="1"/>
    </xf>
    <xf numFmtId="0" fontId="17" fillId="44" borderId="5" xfId="0" applyFont="1" applyFill="1" applyBorder="1" applyAlignment="1" applyProtection="1">
      <alignment horizontal="center"/>
      <protection hidden="1"/>
    </xf>
    <xf numFmtId="0" fontId="11" fillId="44" borderId="8" xfId="0" applyFont="1" applyFill="1" applyBorder="1" applyProtection="1">
      <protection hidden="1"/>
    </xf>
    <xf numFmtId="0" fontId="11" fillId="44" borderId="12" xfId="0" applyFont="1" applyFill="1" applyBorder="1" applyAlignment="1" applyProtection="1">
      <alignment horizontal="center"/>
      <protection hidden="1"/>
    </xf>
    <xf numFmtId="0" fontId="17" fillId="44" borderId="6" xfId="0" applyFont="1" applyFill="1" applyBorder="1" applyAlignment="1" applyProtection="1">
      <alignment horizontal="center"/>
      <protection hidden="1"/>
    </xf>
    <xf numFmtId="0" fontId="11" fillId="44" borderId="6" xfId="0" applyFont="1" applyFill="1" applyBorder="1" applyAlignment="1" applyProtection="1">
      <alignment horizontal="center"/>
      <protection hidden="1"/>
    </xf>
    <xf numFmtId="0" fontId="0" fillId="13" borderId="14" xfId="0" applyFill="1" applyBorder="1" applyAlignment="1" applyProtection="1">
      <alignment horizontal="left"/>
      <protection hidden="1"/>
    </xf>
    <xf numFmtId="0" fontId="0" fillId="13" borderId="8" xfId="0" applyFill="1" applyBorder="1" applyAlignment="1" applyProtection="1">
      <alignment horizontal="center"/>
      <protection hidden="1"/>
    </xf>
    <xf numFmtId="0" fontId="0" fillId="13" borderId="12" xfId="0" applyFill="1" applyBorder="1" applyAlignment="1" applyProtection="1">
      <alignment horizontal="left"/>
      <protection hidden="1"/>
    </xf>
    <xf numFmtId="0" fontId="0" fillId="13" borderId="15" xfId="0" applyFill="1" applyBorder="1" applyAlignment="1" applyProtection="1">
      <alignment horizontal="center"/>
      <protection hidden="1"/>
    </xf>
    <xf numFmtId="0" fontId="0" fillId="13" borderId="11" xfId="0" applyFill="1" applyBorder="1" applyAlignment="1" applyProtection="1">
      <alignment horizontal="left"/>
      <protection hidden="1"/>
    </xf>
    <xf numFmtId="0" fontId="1" fillId="13" borderId="13" xfId="0" applyFont="1" applyFill="1" applyBorder="1" applyAlignment="1" applyProtection="1">
      <alignment horizontal="left" vertical="center" indent="1"/>
      <protection hidden="1"/>
    </xf>
    <xf numFmtId="0" fontId="2" fillId="2" borderId="0" xfId="0" applyFont="1" applyFill="1" applyAlignment="1" applyProtection="1">
      <alignment horizontal="left" vertical="top" wrapText="1" indent="3"/>
      <protection hidden="1"/>
    </xf>
    <xf numFmtId="0" fontId="0" fillId="3" borderId="1" xfId="0" applyFill="1" applyBorder="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1" fillId="20" borderId="0" xfId="0" applyFont="1" applyFill="1" applyAlignment="1" applyProtection="1">
      <alignment horizontal="left"/>
      <protection hidden="1"/>
    </xf>
    <xf numFmtId="0" fontId="5"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92" fillId="46" borderId="13" xfId="0" applyFont="1" applyFill="1" applyBorder="1" applyProtection="1">
      <protection hidden="1"/>
    </xf>
    <xf numFmtId="0" fontId="54" fillId="46" borderId="14" xfId="0" applyFont="1" applyFill="1" applyBorder="1" applyAlignment="1" applyProtection="1">
      <alignment horizontal="center"/>
      <protection hidden="1"/>
    </xf>
    <xf numFmtId="0" fontId="11" fillId="46" borderId="8" xfId="0" applyFont="1" applyFill="1" applyBorder="1" applyProtection="1">
      <protection hidden="1"/>
    </xf>
    <xf numFmtId="0" fontId="11" fillId="46" borderId="12" xfId="0" applyFont="1" applyFill="1" applyBorder="1" applyAlignment="1" applyProtection="1">
      <alignment horizontal="center"/>
      <protection hidden="1"/>
    </xf>
    <xf numFmtId="0" fontId="94" fillId="2" borderId="0" xfId="0" applyFont="1" applyFill="1" applyAlignment="1" applyProtection="1">
      <alignment horizontal="right" vertical="center"/>
      <protection hidden="1"/>
    </xf>
    <xf numFmtId="0" fontId="1" fillId="24" borderId="0" xfId="0" applyFont="1" applyFill="1" applyAlignment="1" applyProtection="1">
      <alignment vertical="center"/>
      <protection hidden="1"/>
    </xf>
    <xf numFmtId="0" fontId="11" fillId="10"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36" fillId="3" borderId="9" xfId="0" applyFont="1" applyFill="1" applyBorder="1" applyAlignment="1" applyProtection="1">
      <alignment horizontal="center" vertical="center"/>
      <protection locked="0" hidden="1"/>
    </xf>
    <xf numFmtId="0" fontId="34" fillId="2" borderId="0" xfId="0" applyFont="1" applyFill="1" applyProtection="1">
      <protection hidden="1"/>
    </xf>
    <xf numFmtId="0" fontId="16" fillId="18" borderId="0" xfId="0" applyFont="1" applyFill="1" applyAlignment="1" applyProtection="1">
      <alignment horizontal="center"/>
      <protection hidden="1"/>
    </xf>
    <xf numFmtId="0" fontId="16" fillId="2" borderId="1" xfId="0" applyFont="1" applyFill="1" applyBorder="1" applyAlignment="1" applyProtection="1">
      <alignment horizontal="center" vertical="center"/>
      <protection hidden="1"/>
    </xf>
    <xf numFmtId="0" fontId="16" fillId="5" borderId="0" xfId="0" applyFont="1" applyFill="1" applyAlignment="1" applyProtection="1">
      <alignment horizontal="right"/>
      <protection hidden="1"/>
    </xf>
    <xf numFmtId="0" fontId="16" fillId="5" borderId="0" xfId="0" applyFont="1" applyFill="1" applyAlignment="1" applyProtection="1">
      <alignment horizontal="center"/>
      <protection hidden="1"/>
    </xf>
    <xf numFmtId="0" fontId="11" fillId="18" borderId="0" xfId="0" applyFont="1" applyFill="1" applyAlignment="1" applyProtection="1">
      <alignment horizontal="center"/>
      <protection hidden="1"/>
    </xf>
    <xf numFmtId="0" fontId="11" fillId="18" borderId="0" xfId="0" applyFont="1" applyFill="1" applyAlignment="1" applyProtection="1">
      <alignment horizontal="center" vertical="center"/>
      <protection hidden="1"/>
    </xf>
    <xf numFmtId="1" fontId="2" fillId="3" borderId="4" xfId="0" applyNumberFormat="1" applyFont="1" applyFill="1" applyBorder="1" applyAlignment="1" applyProtection="1">
      <alignment horizontal="center"/>
      <protection locked="0"/>
    </xf>
    <xf numFmtId="0" fontId="0" fillId="5" borderId="0" xfId="0" applyFill="1" applyAlignment="1" applyProtection="1">
      <alignment horizontal="right"/>
      <protection hidden="1"/>
    </xf>
    <xf numFmtId="0" fontId="94" fillId="3" borderId="9" xfId="0" applyFont="1" applyFill="1" applyBorder="1" applyAlignment="1" applyProtection="1">
      <alignment vertical="top" wrapText="1"/>
      <protection hidden="1"/>
    </xf>
    <xf numFmtId="0" fontId="0" fillId="2" borderId="0" xfId="0" applyFill="1" applyAlignment="1" applyProtection="1">
      <alignment horizontal="center"/>
      <protection hidden="1"/>
    </xf>
    <xf numFmtId="0" fontId="52" fillId="20" borderId="0" xfId="0" applyFont="1" applyFill="1" applyAlignment="1" applyProtection="1">
      <alignment horizontal="center" vertical="center"/>
      <protection hidden="1"/>
    </xf>
    <xf numFmtId="0" fontId="11" fillId="22" borderId="0" xfId="0" applyFont="1" applyFill="1" applyProtection="1">
      <protection hidden="1"/>
    </xf>
    <xf numFmtId="0" fontId="61" fillId="20" borderId="0" xfId="0" applyFont="1" applyFill="1" applyAlignment="1" applyProtection="1">
      <alignment vertical="center" wrapText="1"/>
      <protection hidden="1"/>
    </xf>
    <xf numFmtId="0" fontId="61" fillId="20" borderId="2" xfId="0" applyFont="1" applyFill="1" applyBorder="1" applyAlignment="1" applyProtection="1">
      <alignment vertical="center" wrapText="1"/>
      <protection hidden="1"/>
    </xf>
    <xf numFmtId="0" fontId="52" fillId="20" borderId="0" xfId="0" applyFont="1" applyFill="1" applyAlignment="1" applyProtection="1">
      <alignment vertical="center"/>
      <protection hidden="1"/>
    </xf>
    <xf numFmtId="0" fontId="53" fillId="20" borderId="0" xfId="0" applyFont="1" applyFill="1" applyAlignment="1" applyProtection="1">
      <alignment horizontal="left" vertical="center" indent="1"/>
      <protection hidden="1"/>
    </xf>
    <xf numFmtId="0" fontId="102" fillId="13" borderId="0" xfId="0" applyFont="1" applyFill="1" applyAlignment="1" applyProtection="1">
      <alignment horizontal="center"/>
      <protection hidden="1"/>
    </xf>
    <xf numFmtId="0" fontId="64" fillId="13" borderId="12" xfId="0" applyFont="1" applyFill="1" applyBorder="1" applyAlignment="1" applyProtection="1">
      <alignment horizontal="center"/>
      <protection hidden="1"/>
    </xf>
    <xf numFmtId="0" fontId="0" fillId="13" borderId="12" xfId="0" applyFill="1" applyBorder="1" applyAlignment="1" applyProtection="1">
      <alignment horizontal="center"/>
      <protection hidden="1"/>
    </xf>
    <xf numFmtId="0" fontId="0" fillId="13" borderId="11" xfId="0" applyFill="1" applyBorder="1" applyAlignment="1" applyProtection="1">
      <alignment horizontal="center"/>
      <protection hidden="1"/>
    </xf>
    <xf numFmtId="0" fontId="102" fillId="13" borderId="11" xfId="0" applyFont="1" applyFill="1" applyBorder="1" applyAlignment="1" applyProtection="1">
      <alignment horizontal="center"/>
      <protection hidden="1"/>
    </xf>
    <xf numFmtId="0" fontId="65" fillId="13" borderId="0" xfId="0" applyFont="1" applyFill="1" applyAlignment="1" applyProtection="1">
      <alignment horizontal="center"/>
      <protection hidden="1"/>
    </xf>
    <xf numFmtId="0" fontId="102" fillId="13" borderId="3" xfId="0" applyFont="1" applyFill="1" applyBorder="1" applyAlignment="1" applyProtection="1">
      <alignment horizontal="center"/>
      <protection hidden="1"/>
    </xf>
    <xf numFmtId="0" fontId="0" fillId="47" borderId="0" xfId="0" applyFill="1" applyAlignment="1" applyProtection="1">
      <alignment horizontal="center"/>
      <protection hidden="1"/>
    </xf>
    <xf numFmtId="0" fontId="64" fillId="13" borderId="14" xfId="0" applyFont="1" applyFill="1" applyBorder="1" applyAlignment="1" applyProtection="1">
      <alignment horizontal="center"/>
      <protection hidden="1"/>
    </xf>
    <xf numFmtId="0" fontId="65" fillId="13" borderId="12" xfId="0" applyFont="1" applyFill="1" applyBorder="1" applyAlignment="1" applyProtection="1">
      <alignment horizontal="left"/>
      <protection hidden="1"/>
    </xf>
    <xf numFmtId="0" fontId="52" fillId="13" borderId="0" xfId="0" applyFont="1" applyFill="1" applyAlignment="1" applyProtection="1">
      <alignment horizontal="center" vertical="center"/>
      <protection hidden="1"/>
    </xf>
    <xf numFmtId="0" fontId="65" fillId="45" borderId="2" xfId="0" applyFont="1" applyFill="1" applyBorder="1" applyAlignment="1" applyProtection="1">
      <alignment horizontal="center"/>
      <protection hidden="1"/>
    </xf>
    <xf numFmtId="0" fontId="65" fillId="45" borderId="2" xfId="0" applyFont="1" applyFill="1" applyBorder="1" applyAlignment="1" applyProtection="1">
      <alignment horizontal="left"/>
      <protection hidden="1"/>
    </xf>
    <xf numFmtId="0" fontId="64" fillId="45" borderId="0" xfId="0" applyFont="1" applyFill="1" applyAlignment="1" applyProtection="1">
      <alignment horizontal="right"/>
      <protection hidden="1"/>
    </xf>
    <xf numFmtId="0" fontId="65" fillId="45" borderId="12" xfId="0" applyFont="1" applyFill="1" applyBorder="1" applyAlignment="1" applyProtection="1">
      <alignment horizontal="left"/>
      <protection hidden="1"/>
    </xf>
    <xf numFmtId="0" fontId="64" fillId="45"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4" fillId="45" borderId="3" xfId="0" applyFont="1" applyFill="1" applyBorder="1" applyAlignment="1" applyProtection="1">
      <alignment horizontal="center"/>
      <protection hidden="1"/>
    </xf>
    <xf numFmtId="0" fontId="102" fillId="45" borderId="11" xfId="0" applyFont="1" applyFill="1" applyBorder="1" applyAlignment="1" applyProtection="1">
      <alignment horizontal="center"/>
      <protection hidden="1"/>
    </xf>
    <xf numFmtId="0" fontId="64" fillId="45" borderId="11" xfId="0" applyFont="1" applyFill="1" applyBorder="1" applyAlignment="1" applyProtection="1">
      <alignment horizontal="center"/>
      <protection hidden="1"/>
    </xf>
    <xf numFmtId="0" fontId="64" fillId="45" borderId="12" xfId="0" applyFont="1" applyFill="1" applyBorder="1" applyAlignment="1" applyProtection="1">
      <alignment horizontal="center"/>
      <protection hidden="1"/>
    </xf>
    <xf numFmtId="0" fontId="65" fillId="45" borderId="0" xfId="0" applyFont="1" applyFill="1" applyAlignment="1" applyProtection="1">
      <alignment horizontal="center"/>
      <protection hidden="1"/>
    </xf>
    <xf numFmtId="0" fontId="65" fillId="45" borderId="3" xfId="0" applyFont="1" applyFill="1" applyBorder="1" applyAlignment="1" applyProtection="1">
      <alignment horizontal="center"/>
      <protection hidden="1"/>
    </xf>
    <xf numFmtId="0" fontId="33" fillId="45" borderId="3" xfId="0" applyFont="1" applyFill="1" applyBorder="1" applyAlignment="1" applyProtection="1">
      <alignment horizontal="right"/>
      <protection hidden="1"/>
    </xf>
    <xf numFmtId="0" fontId="55" fillId="45" borderId="0" xfId="0" applyFont="1" applyFill="1" applyAlignment="1" applyProtection="1">
      <alignment horizontal="center" vertical="center"/>
      <protection hidden="1"/>
    </xf>
    <xf numFmtId="0" fontId="20" fillId="47" borderId="0" xfId="0" applyFont="1" applyFill="1" applyAlignment="1" applyProtection="1">
      <alignment horizontal="left" indent="1"/>
      <protection hidden="1"/>
    </xf>
    <xf numFmtId="0" fontId="12" fillId="47" borderId="0" xfId="0" applyFont="1" applyFill="1" applyAlignment="1" applyProtection="1">
      <alignment horizontal="center"/>
      <protection hidden="1"/>
    </xf>
    <xf numFmtId="0" fontId="12" fillId="47" borderId="0" xfId="0" applyFont="1" applyFill="1" applyProtection="1">
      <protection hidden="1"/>
    </xf>
    <xf numFmtId="0" fontId="20" fillId="47" borderId="0" xfId="0" applyFont="1" applyFill="1" applyAlignment="1" applyProtection="1">
      <alignment horizontal="right"/>
      <protection hidden="1"/>
    </xf>
    <xf numFmtId="0" fontId="50" fillId="4" borderId="0" xfId="0" applyFont="1" applyFill="1" applyAlignment="1" applyProtection="1">
      <alignment vertical="center"/>
      <protection hidden="1"/>
    </xf>
    <xf numFmtId="0" fontId="14" fillId="4" borderId="0" xfId="0" applyFont="1" applyFill="1" applyAlignment="1" applyProtection="1">
      <alignment horizontal="left" vertical="top"/>
      <protection hidden="1"/>
    </xf>
    <xf numFmtId="0" fontId="103" fillId="13" borderId="0" xfId="0" applyFont="1" applyFill="1" applyProtection="1">
      <protection hidden="1"/>
    </xf>
    <xf numFmtId="0" fontId="7" fillId="2" borderId="10" xfId="0" applyFont="1" applyFill="1" applyBorder="1" applyAlignment="1" applyProtection="1">
      <alignment horizontal="center"/>
      <protection hidden="1"/>
    </xf>
    <xf numFmtId="0" fontId="16" fillId="39" borderId="11" xfId="0" applyFont="1" applyFill="1" applyBorder="1" applyAlignment="1">
      <alignment horizontal="left"/>
    </xf>
    <xf numFmtId="0" fontId="11" fillId="12" borderId="12" xfId="0" applyFont="1" applyFill="1" applyBorder="1"/>
    <xf numFmtId="0" fontId="11" fillId="40" borderId="12" xfId="0" applyFont="1" applyFill="1" applyBorder="1"/>
    <xf numFmtId="0" fontId="16" fillId="12" borderId="12" xfId="0" applyFont="1" applyFill="1" applyBorder="1" applyAlignment="1">
      <alignment horizontal="left"/>
    </xf>
    <xf numFmtId="0" fontId="16" fillId="40" borderId="12" xfId="0" applyFont="1" applyFill="1" applyBorder="1" applyAlignment="1">
      <alignment horizontal="left"/>
    </xf>
    <xf numFmtId="0" fontId="1" fillId="40" borderId="12" xfId="0" applyFont="1" applyFill="1" applyBorder="1" applyAlignment="1">
      <alignment horizontal="left"/>
    </xf>
    <xf numFmtId="0" fontId="11" fillId="12" borderId="12" xfId="0" applyFont="1" applyFill="1" applyBorder="1" applyAlignment="1">
      <alignment horizontal="left"/>
    </xf>
    <xf numFmtId="0" fontId="11" fillId="40" borderId="12" xfId="0" applyFont="1" applyFill="1" applyBorder="1" applyAlignment="1">
      <alignment horizontal="left"/>
    </xf>
    <xf numFmtId="0" fontId="0" fillId="12" borderId="12" xfId="0" applyFill="1" applyBorder="1" applyAlignment="1">
      <alignment horizontal="left"/>
    </xf>
    <xf numFmtId="0" fontId="43" fillId="12" borderId="12" xfId="0" applyFont="1" applyFill="1" applyBorder="1" applyAlignment="1">
      <alignment horizontal="left"/>
    </xf>
    <xf numFmtId="0" fontId="43" fillId="40" borderId="12" xfId="0" applyFont="1" applyFill="1" applyBorder="1" applyAlignment="1">
      <alignment horizontal="left"/>
    </xf>
    <xf numFmtId="0" fontId="43" fillId="12" borderId="12" xfId="0" applyFont="1" applyFill="1" applyBorder="1" applyAlignment="1">
      <alignment horizontal="center"/>
    </xf>
    <xf numFmtId="0" fontId="43" fillId="40" borderId="12" xfId="0" applyFont="1" applyFill="1" applyBorder="1" applyAlignment="1">
      <alignment horizontal="center"/>
    </xf>
    <xf numFmtId="0" fontId="91" fillId="12" borderId="12" xfId="0" applyFont="1" applyFill="1" applyBorder="1" applyAlignment="1">
      <alignment horizontal="left"/>
    </xf>
    <xf numFmtId="0" fontId="91" fillId="40" borderId="12" xfId="0" applyFont="1" applyFill="1" applyBorder="1" applyAlignment="1">
      <alignment horizontal="left"/>
    </xf>
    <xf numFmtId="0" fontId="1" fillId="39" borderId="11" xfId="0" applyFont="1" applyFill="1" applyBorder="1" applyAlignment="1">
      <alignment horizontal="left"/>
    </xf>
    <xf numFmtId="0" fontId="0" fillId="12" borderId="12" xfId="0" applyFill="1" applyBorder="1"/>
    <xf numFmtId="0" fontId="0" fillId="40" borderId="12" xfId="0" applyFill="1" applyBorder="1"/>
    <xf numFmtId="0" fontId="1" fillId="12" borderId="12" xfId="0" applyFont="1" applyFill="1" applyBorder="1" applyAlignment="1">
      <alignment horizontal="left"/>
    </xf>
    <xf numFmtId="0" fontId="0" fillId="40" borderId="12" xfId="0" applyFill="1" applyBorder="1" applyAlignment="1">
      <alignment horizontal="left"/>
    </xf>
    <xf numFmtId="0" fontId="43" fillId="12" borderId="12" xfId="0" applyFont="1" applyFill="1" applyBorder="1"/>
    <xf numFmtId="0" fontId="8" fillId="40" borderId="12" xfId="0" applyFont="1" applyFill="1" applyBorder="1" applyAlignment="1">
      <alignment horizontal="left"/>
    </xf>
    <xf numFmtId="0" fontId="8" fillId="12" borderId="12" xfId="0" applyFont="1" applyFill="1" applyBorder="1" applyAlignment="1">
      <alignment horizontal="left"/>
    </xf>
    <xf numFmtId="0" fontId="7" fillId="10" borderId="0" xfId="0" applyFont="1" applyFill="1" applyAlignment="1" applyProtection="1">
      <alignment horizontal="left"/>
      <protection hidden="1"/>
    </xf>
    <xf numFmtId="0" fontId="7" fillId="10" borderId="0" xfId="0" applyFont="1" applyFill="1" applyAlignment="1" applyProtection="1">
      <alignment horizontal="center"/>
      <protection hidden="1"/>
    </xf>
    <xf numFmtId="0" fontId="51" fillId="10" borderId="0" xfId="0" applyFont="1" applyFill="1" applyAlignment="1" applyProtection="1">
      <alignment horizontal="left"/>
      <protection hidden="1"/>
    </xf>
    <xf numFmtId="0" fontId="39" fillId="10" borderId="15" xfId="0" applyFont="1" applyFill="1" applyBorder="1" applyAlignment="1" applyProtection="1">
      <alignment horizontal="center"/>
      <protection hidden="1"/>
    </xf>
    <xf numFmtId="0" fontId="39" fillId="10" borderId="3" xfId="0" applyFont="1" applyFill="1" applyBorder="1" applyAlignment="1" applyProtection="1">
      <alignment horizontal="center"/>
      <protection hidden="1"/>
    </xf>
    <xf numFmtId="0" fontId="39" fillId="10" borderId="11" xfId="0" applyFont="1" applyFill="1" applyBorder="1" applyAlignment="1" applyProtection="1">
      <alignment horizontal="center"/>
      <protection hidden="1"/>
    </xf>
    <xf numFmtId="0" fontId="39" fillId="10" borderId="1" xfId="0" applyFont="1" applyFill="1" applyBorder="1" applyAlignment="1" applyProtection="1">
      <alignment horizontal="center"/>
      <protection hidden="1"/>
    </xf>
    <xf numFmtId="0" fontId="7" fillId="10" borderId="8" xfId="0" applyFont="1" applyFill="1" applyBorder="1" applyAlignment="1" applyProtection="1">
      <alignment horizontal="center" vertical="center"/>
      <protection hidden="1"/>
    </xf>
    <xf numFmtId="0" fontId="7" fillId="10" borderId="6" xfId="0" applyFont="1" applyFill="1" applyBorder="1" applyAlignment="1" applyProtection="1">
      <alignment horizontal="center" vertical="center"/>
      <protection hidden="1"/>
    </xf>
    <xf numFmtId="0" fontId="7" fillId="10" borderId="0" xfId="0" applyFont="1" applyFill="1" applyAlignment="1" applyProtection="1">
      <alignment horizontal="center" vertical="center"/>
      <protection hidden="1"/>
    </xf>
    <xf numFmtId="0" fontId="7" fillId="10" borderId="12" xfId="0" applyFont="1" applyFill="1" applyBorder="1" applyAlignment="1" applyProtection="1">
      <alignment horizontal="center" vertical="center"/>
      <protection hidden="1"/>
    </xf>
    <xf numFmtId="0" fontId="7" fillId="10" borderId="15" xfId="0" applyFont="1" applyFill="1" applyBorder="1" applyAlignment="1" applyProtection="1">
      <alignment horizontal="center" vertical="center"/>
      <protection hidden="1"/>
    </xf>
    <xf numFmtId="0" fontId="7" fillId="10" borderId="7" xfId="0" applyFont="1" applyFill="1" applyBorder="1" applyAlignment="1" applyProtection="1">
      <alignment horizontal="center" vertical="center"/>
      <protection hidden="1"/>
    </xf>
    <xf numFmtId="0" fontId="7" fillId="10" borderId="3" xfId="0" applyFont="1" applyFill="1" applyBorder="1" applyAlignment="1" applyProtection="1">
      <alignment horizontal="center" vertical="center"/>
      <protection hidden="1"/>
    </xf>
    <xf numFmtId="0" fontId="7" fillId="10" borderId="11" xfId="0" applyFont="1" applyFill="1" applyBorder="1" applyAlignment="1" applyProtection="1">
      <alignment horizontal="center" vertical="center"/>
      <protection hidden="1"/>
    </xf>
    <xf numFmtId="0" fontId="12" fillId="25" borderId="0" xfId="0" applyFont="1" applyFill="1" applyProtection="1">
      <protection hidden="1"/>
    </xf>
    <xf numFmtId="49" fontId="2" fillId="2" borderId="4" xfId="0" applyNumberFormat="1" applyFont="1" applyFill="1" applyBorder="1" applyAlignment="1" applyProtection="1">
      <alignment horizontal="left"/>
      <protection locked="0" hidden="1"/>
    </xf>
    <xf numFmtId="0" fontId="2" fillId="2" borderId="4" xfId="0" applyFont="1" applyFill="1" applyBorder="1" applyProtection="1">
      <protection locked="0" hidden="1"/>
    </xf>
    <xf numFmtId="0" fontId="21" fillId="39" borderId="0" xfId="0" applyFont="1" applyFill="1"/>
    <xf numFmtId="0" fontId="41" fillId="14" borderId="0" xfId="0" applyFont="1" applyFill="1" applyProtection="1">
      <protection hidden="1"/>
    </xf>
    <xf numFmtId="0" fontId="21" fillId="40" borderId="0" xfId="0" applyFont="1" applyFill="1"/>
    <xf numFmtId="0" fontId="21" fillId="12" borderId="0" xfId="0" applyFont="1" applyFill="1"/>
    <xf numFmtId="0" fontId="108" fillId="3" borderId="0" xfId="0" applyFont="1" applyFill="1" applyAlignment="1" applyProtection="1">
      <alignment horizontal="left" indent="1"/>
      <protection hidden="1"/>
    </xf>
    <xf numFmtId="0" fontId="108" fillId="3" borderId="0" xfId="0" applyFont="1" applyFill="1" applyProtection="1">
      <protection hidden="1"/>
    </xf>
    <xf numFmtId="0" fontId="108" fillId="2" borderId="0" xfId="0" applyFont="1" applyFill="1" applyProtection="1">
      <protection hidden="1"/>
    </xf>
    <xf numFmtId="0" fontId="109" fillId="2" borderId="0" xfId="0" applyFont="1" applyFill="1" applyProtection="1">
      <protection hidden="1"/>
    </xf>
    <xf numFmtId="0" fontId="110" fillId="2" borderId="0" xfId="0" applyFont="1" applyFill="1" applyProtection="1">
      <protection hidden="1"/>
    </xf>
    <xf numFmtId="49" fontId="11" fillId="12" borderId="0" xfId="0" applyNumberFormat="1" applyFont="1" applyFill="1" applyAlignment="1" applyProtection="1">
      <alignment horizontal="center"/>
      <protection hidden="1"/>
    </xf>
    <xf numFmtId="49" fontId="0" fillId="12" borderId="0" xfId="0" applyNumberFormat="1" applyFill="1" applyAlignment="1" applyProtection="1">
      <alignment horizontal="center"/>
      <protection hidden="1"/>
    </xf>
    <xf numFmtId="0" fontId="111" fillId="21" borderId="0" xfId="0" applyFont="1" applyFill="1" applyAlignment="1" applyProtection="1">
      <alignment horizontal="right"/>
      <protection hidden="1"/>
    </xf>
    <xf numFmtId="0" fontId="112" fillId="21" borderId="0" xfId="0" applyFont="1" applyFill="1" applyAlignment="1" applyProtection="1">
      <alignment horizontal="center"/>
      <protection hidden="1"/>
    </xf>
    <xf numFmtId="0" fontId="19" fillId="5" borderId="0" xfId="0" applyFont="1" applyFill="1" applyAlignment="1" applyProtection="1">
      <alignment horizontal="center" vertical="top"/>
      <protection hidden="1"/>
    </xf>
    <xf numFmtId="0" fontId="11" fillId="5" borderId="7" xfId="0" applyFont="1" applyFill="1" applyBorder="1" applyAlignment="1" applyProtection="1">
      <alignment horizontal="center"/>
      <protection hidden="1"/>
    </xf>
    <xf numFmtId="0" fontId="17" fillId="23" borderId="13" xfId="0" applyFont="1" applyFill="1" applyBorder="1" applyProtection="1">
      <protection hidden="1"/>
    </xf>
    <xf numFmtId="0" fontId="17" fillId="23" borderId="14" xfId="0" applyFont="1" applyFill="1" applyBorder="1" applyProtection="1">
      <protection hidden="1"/>
    </xf>
    <xf numFmtId="0" fontId="17" fillId="23" borderId="15" xfId="0" applyFont="1" applyFill="1" applyBorder="1" applyProtection="1">
      <protection hidden="1"/>
    </xf>
    <xf numFmtId="0" fontId="17" fillId="23" borderId="11" xfId="0" applyFont="1" applyFill="1" applyBorder="1" applyAlignment="1" applyProtection="1">
      <alignment horizontal="center"/>
      <protection hidden="1"/>
    </xf>
    <xf numFmtId="0" fontId="17" fillId="23" borderId="8" xfId="0" applyFont="1" applyFill="1" applyBorder="1" applyProtection="1">
      <protection hidden="1"/>
    </xf>
    <xf numFmtId="0" fontId="17" fillId="23" borderId="12" xfId="0" applyFont="1" applyFill="1" applyBorder="1" applyAlignment="1" applyProtection="1">
      <alignment horizontal="center"/>
      <protection hidden="1"/>
    </xf>
    <xf numFmtId="0" fontId="76" fillId="13" borderId="3" xfId="0" applyFont="1" applyFill="1" applyBorder="1" applyAlignment="1" applyProtection="1">
      <alignment horizontal="center"/>
      <protection hidden="1"/>
    </xf>
    <xf numFmtId="0" fontId="11" fillId="46" borderId="0" xfId="0" applyFont="1" applyFill="1" applyProtection="1">
      <protection hidden="1"/>
    </xf>
    <xf numFmtId="0" fontId="65" fillId="13" borderId="13" xfId="0" applyFont="1" applyFill="1" applyBorder="1" applyAlignment="1" applyProtection="1">
      <alignment horizontal="center"/>
      <protection hidden="1"/>
    </xf>
    <xf numFmtId="0" fontId="64" fillId="13" borderId="8" xfId="0" applyFont="1" applyFill="1" applyBorder="1" applyAlignment="1" applyProtection="1">
      <alignment horizontal="center"/>
      <protection hidden="1"/>
    </xf>
    <xf numFmtId="0" fontId="64" fillId="13" borderId="15" xfId="0" applyFont="1" applyFill="1" applyBorder="1" applyAlignment="1" applyProtection="1">
      <alignment horizontal="center"/>
      <protection hidden="1"/>
    </xf>
    <xf numFmtId="0" fontId="113" fillId="20" borderId="0" xfId="0" applyFont="1" applyFill="1" applyAlignment="1" applyProtection="1">
      <alignment horizontal="center"/>
      <protection hidden="1"/>
    </xf>
    <xf numFmtId="0" fontId="52" fillId="20" borderId="0" xfId="0" applyFont="1" applyFill="1" applyProtection="1">
      <protection hidden="1"/>
    </xf>
    <xf numFmtId="0" fontId="7" fillId="20" borderId="0" xfId="0" applyFont="1" applyFill="1" applyAlignment="1" applyProtection="1">
      <alignment horizontal="left"/>
      <protection hidden="1"/>
    </xf>
    <xf numFmtId="0" fontId="7" fillId="20" borderId="0" xfId="0" applyFont="1" applyFill="1" applyAlignment="1" applyProtection="1">
      <alignment horizontal="center"/>
      <protection hidden="1"/>
    </xf>
    <xf numFmtId="0" fontId="11" fillId="38" borderId="0" xfId="0" applyFont="1" applyFill="1" applyAlignment="1" applyProtection="1">
      <alignment horizontal="left"/>
      <protection hidden="1"/>
    </xf>
    <xf numFmtId="2" fontId="0" fillId="4" borderId="0" xfId="0" applyNumberFormat="1" applyFill="1" applyProtection="1">
      <protection hidden="1"/>
    </xf>
    <xf numFmtId="0" fontId="66" fillId="4" borderId="0" xfId="0" applyFont="1" applyFill="1" applyProtection="1">
      <protection hidden="1"/>
    </xf>
    <xf numFmtId="0" fontId="114" fillId="12" borderId="0" xfId="0" applyFont="1" applyFill="1"/>
    <xf numFmtId="0" fontId="114" fillId="40" borderId="0" xfId="0" applyFont="1" applyFill="1"/>
    <xf numFmtId="0" fontId="114" fillId="12" borderId="0" xfId="0" applyFont="1" applyFill="1" applyAlignment="1">
      <alignment horizontal="right"/>
    </xf>
    <xf numFmtId="0" fontId="21" fillId="6" borderId="0" xfId="0" applyFont="1" applyFill="1" applyProtection="1">
      <protection hidden="1"/>
    </xf>
    <xf numFmtId="0" fontId="11" fillId="2" borderId="1" xfId="0" applyFont="1" applyFill="1" applyBorder="1" applyAlignment="1" applyProtection="1">
      <alignment horizontal="center"/>
      <protection hidden="1"/>
    </xf>
    <xf numFmtId="0" fontId="115" fillId="4" borderId="0" xfId="0" applyFont="1" applyFill="1" applyProtection="1">
      <protection hidden="1"/>
    </xf>
    <xf numFmtId="0" fontId="115" fillId="2" borderId="0" xfId="0" applyFont="1" applyFill="1" applyProtection="1">
      <protection hidden="1"/>
    </xf>
    <xf numFmtId="0" fontId="116" fillId="4" borderId="0" xfId="0" applyFont="1" applyFill="1" applyProtection="1">
      <protection hidden="1"/>
    </xf>
    <xf numFmtId="0" fontId="9" fillId="2" borderId="0" xfId="0" applyFont="1" applyFill="1" applyAlignment="1" applyProtection="1">
      <alignment vertical="top"/>
      <protection hidden="1"/>
    </xf>
    <xf numFmtId="0" fontId="11" fillId="38" borderId="0" xfId="0" applyFont="1" applyFill="1" applyProtection="1">
      <protection hidden="1"/>
    </xf>
    <xf numFmtId="0" fontId="16" fillId="38" borderId="0" xfId="0" applyFont="1" applyFill="1" applyProtection="1">
      <protection hidden="1"/>
    </xf>
    <xf numFmtId="0" fontId="16" fillId="48" borderId="0" xfId="0" applyFont="1" applyFill="1" applyProtection="1">
      <protection hidden="1"/>
    </xf>
    <xf numFmtId="0" fontId="11" fillId="48" borderId="0" xfId="0" applyFont="1" applyFill="1" applyProtection="1">
      <protection hidden="1"/>
    </xf>
    <xf numFmtId="0" fontId="11" fillId="48" borderId="0" xfId="0" applyFont="1" applyFill="1" applyAlignment="1" applyProtection="1">
      <alignment horizontal="center"/>
      <protection hidden="1"/>
    </xf>
    <xf numFmtId="0" fontId="16" fillId="27" borderId="0" xfId="0" applyFont="1" applyFill="1" applyProtection="1">
      <protection hidden="1"/>
    </xf>
    <xf numFmtId="0" fontId="11" fillId="27" borderId="0" xfId="0" applyFont="1" applyFill="1" applyAlignment="1" applyProtection="1">
      <alignment horizontal="center"/>
      <protection hidden="1"/>
    </xf>
    <xf numFmtId="0" fontId="11" fillId="27" borderId="0" xfId="0" applyFont="1" applyFill="1" applyProtection="1">
      <protection hidden="1"/>
    </xf>
    <xf numFmtId="0" fontId="16" fillId="49" borderId="0" xfId="0" applyFont="1" applyFill="1" applyProtection="1">
      <protection hidden="1"/>
    </xf>
    <xf numFmtId="0" fontId="11" fillId="49" borderId="0" xfId="0" applyFont="1" applyFill="1" applyAlignment="1" applyProtection="1">
      <alignment horizontal="center"/>
      <protection hidden="1"/>
    </xf>
    <xf numFmtId="0" fontId="11" fillId="49" borderId="0" xfId="0" applyFont="1" applyFill="1" applyProtection="1">
      <protection hidden="1"/>
    </xf>
    <xf numFmtId="0" fontId="16" fillId="25" borderId="0" xfId="0" applyFont="1" applyFill="1" applyProtection="1">
      <protection hidden="1"/>
    </xf>
    <xf numFmtId="0" fontId="11" fillId="25" borderId="0" xfId="0" applyFont="1" applyFill="1" applyProtection="1">
      <protection hidden="1"/>
    </xf>
    <xf numFmtId="0" fontId="0" fillId="2" borderId="1" xfId="0" applyFill="1" applyBorder="1" applyAlignment="1" applyProtection="1">
      <alignment horizontal="left"/>
      <protection locked="0" hidden="1"/>
    </xf>
    <xf numFmtId="0" fontId="0" fillId="2" borderId="1" xfId="0" applyFill="1" applyBorder="1" applyAlignment="1" applyProtection="1">
      <alignment horizontal="center"/>
      <protection locked="0" hidden="1"/>
    </xf>
    <xf numFmtId="0" fontId="16" fillId="50" borderId="0" xfId="0" applyFont="1" applyFill="1" applyProtection="1">
      <protection hidden="1"/>
    </xf>
    <xf numFmtId="0" fontId="11" fillId="50" borderId="0" xfId="0" applyFont="1" applyFill="1" applyAlignment="1" applyProtection="1">
      <alignment horizontal="center"/>
      <protection hidden="1"/>
    </xf>
    <xf numFmtId="0" fontId="11" fillId="50" borderId="0" xfId="0" applyFont="1" applyFill="1" applyProtection="1">
      <protection hidden="1"/>
    </xf>
    <xf numFmtId="0" fontId="16" fillId="51" borderId="0" xfId="0" applyFont="1" applyFill="1" applyProtection="1">
      <protection hidden="1"/>
    </xf>
    <xf numFmtId="0" fontId="11" fillId="51" borderId="0" xfId="0" applyFont="1" applyFill="1" applyAlignment="1" applyProtection="1">
      <alignment horizontal="center"/>
      <protection hidden="1"/>
    </xf>
    <xf numFmtId="0" fontId="11" fillId="51" borderId="0" xfId="0" applyFont="1" applyFill="1" applyProtection="1">
      <protection hidden="1"/>
    </xf>
    <xf numFmtId="0" fontId="16" fillId="52" borderId="0" xfId="0" applyFont="1" applyFill="1" applyProtection="1">
      <protection hidden="1"/>
    </xf>
    <xf numFmtId="0" fontId="11" fillId="52" borderId="0" xfId="0" applyFont="1" applyFill="1" applyAlignment="1" applyProtection="1">
      <alignment horizontal="center"/>
      <protection hidden="1"/>
    </xf>
    <xf numFmtId="0" fontId="11" fillId="52" borderId="0" xfId="0" applyFont="1" applyFill="1" applyProtection="1">
      <protection hidden="1"/>
    </xf>
    <xf numFmtId="0" fontId="16" fillId="53" borderId="0" xfId="0" applyFont="1" applyFill="1" applyProtection="1">
      <protection hidden="1"/>
    </xf>
    <xf numFmtId="0" fontId="11" fillId="53" borderId="0" xfId="0" applyFont="1" applyFill="1" applyAlignment="1" applyProtection="1">
      <alignment horizontal="center"/>
      <protection hidden="1"/>
    </xf>
    <xf numFmtId="0" fontId="11" fillId="53" borderId="0" xfId="0" applyFont="1" applyFill="1" applyProtection="1">
      <protection hidden="1"/>
    </xf>
    <xf numFmtId="0" fontId="16" fillId="22" borderId="0" xfId="0" applyFont="1" applyFill="1" applyProtection="1">
      <protection hidden="1"/>
    </xf>
    <xf numFmtId="0" fontId="11" fillId="22" borderId="0" xfId="0" applyFont="1" applyFill="1" applyAlignment="1" applyProtection="1">
      <alignment horizontal="center"/>
      <protection hidden="1"/>
    </xf>
    <xf numFmtId="0" fontId="11" fillId="20" borderId="0" xfId="0" applyFont="1" applyFill="1" applyProtection="1">
      <protection hidden="1"/>
    </xf>
    <xf numFmtId="0" fontId="16" fillId="28" borderId="0" xfId="0" applyFont="1" applyFill="1" applyProtection="1">
      <protection hidden="1"/>
    </xf>
    <xf numFmtId="0" fontId="11" fillId="28" borderId="0" xfId="0" applyFont="1" applyFill="1" applyProtection="1">
      <protection hidden="1"/>
    </xf>
    <xf numFmtId="0" fontId="16" fillId="11" borderId="0" xfId="0" applyFont="1" applyFill="1" applyProtection="1">
      <protection hidden="1"/>
    </xf>
    <xf numFmtId="0" fontId="11" fillId="11" borderId="0" xfId="0" applyFont="1" applyFill="1" applyAlignment="1" applyProtection="1">
      <alignment horizontal="center"/>
      <protection hidden="1"/>
    </xf>
    <xf numFmtId="0" fontId="16" fillId="41" borderId="0" xfId="0" applyFont="1" applyFill="1" applyProtection="1">
      <protection hidden="1"/>
    </xf>
    <xf numFmtId="0" fontId="11" fillId="41" borderId="0" xfId="0" applyFont="1" applyFill="1" applyAlignment="1" applyProtection="1">
      <alignment horizontal="center"/>
      <protection hidden="1"/>
    </xf>
    <xf numFmtId="0" fontId="11" fillId="41" borderId="0" xfId="0" applyFont="1" applyFill="1" applyProtection="1">
      <protection hidden="1"/>
    </xf>
    <xf numFmtId="0" fontId="16" fillId="18" borderId="0" xfId="0" applyFont="1" applyFill="1" applyProtection="1">
      <protection hidden="1"/>
    </xf>
    <xf numFmtId="0" fontId="11" fillId="18" borderId="0" xfId="0" applyFont="1" applyFill="1" applyProtection="1">
      <protection hidden="1"/>
    </xf>
    <xf numFmtId="0" fontId="17" fillId="28" borderId="0" xfId="0" applyFont="1" applyFill="1" applyAlignment="1" applyProtection="1">
      <alignment horizontal="center" vertical="top" wrapText="1"/>
      <protection locked="0" hidden="1"/>
    </xf>
    <xf numFmtId="0" fontId="16" fillId="10" borderId="0" xfId="0" applyFont="1" applyFill="1" applyProtection="1">
      <protection hidden="1"/>
    </xf>
    <xf numFmtId="0" fontId="11" fillId="10" borderId="0" xfId="0" applyFont="1" applyFill="1" applyProtection="1">
      <protection hidden="1"/>
    </xf>
    <xf numFmtId="0" fontId="16" fillId="54" borderId="0" xfId="0" applyFont="1" applyFill="1" applyProtection="1">
      <protection hidden="1"/>
    </xf>
    <xf numFmtId="0" fontId="11" fillId="54" borderId="0" xfId="0" applyFont="1" applyFill="1" applyAlignment="1" applyProtection="1">
      <alignment horizontal="center"/>
      <protection hidden="1"/>
    </xf>
    <xf numFmtId="0" fontId="11" fillId="54" borderId="0" xfId="0" applyFont="1" applyFill="1" applyProtection="1">
      <protection hidden="1"/>
    </xf>
    <xf numFmtId="0" fontId="16" fillId="21" borderId="0" xfId="0" applyFont="1" applyFill="1" applyProtection="1">
      <protection hidden="1"/>
    </xf>
    <xf numFmtId="0" fontId="11" fillId="21" borderId="0" xfId="0" applyFont="1" applyFill="1" applyAlignment="1" applyProtection="1">
      <alignment horizontal="center"/>
      <protection hidden="1"/>
    </xf>
    <xf numFmtId="0" fontId="11" fillId="21" borderId="0" xfId="0" applyFont="1" applyFill="1" applyProtection="1">
      <protection hidden="1"/>
    </xf>
    <xf numFmtId="0" fontId="16" fillId="9" borderId="0" xfId="0" applyFont="1" applyFill="1" applyProtection="1">
      <protection hidden="1"/>
    </xf>
    <xf numFmtId="0" fontId="11" fillId="9" borderId="0" xfId="0" applyFont="1" applyFill="1" applyAlignment="1" applyProtection="1">
      <alignment horizontal="center"/>
      <protection hidden="1"/>
    </xf>
    <xf numFmtId="0" fontId="11" fillId="9" borderId="0" xfId="0" applyFont="1" applyFill="1" applyProtection="1">
      <protection hidden="1"/>
    </xf>
    <xf numFmtId="0" fontId="16" fillId="8" borderId="0" xfId="0" applyFont="1" applyFill="1" applyProtection="1">
      <protection hidden="1"/>
    </xf>
    <xf numFmtId="0" fontId="11" fillId="8" borderId="0" xfId="0" applyFont="1" applyFill="1" applyAlignment="1" applyProtection="1">
      <alignment horizontal="center"/>
      <protection hidden="1"/>
    </xf>
    <xf numFmtId="0" fontId="11" fillId="8" borderId="0" xfId="0" applyFont="1" applyFill="1" applyProtection="1">
      <protection hidden="1"/>
    </xf>
    <xf numFmtId="0" fontId="12" fillId="13" borderId="0" xfId="0" applyFont="1" applyFill="1" applyAlignment="1" applyProtection="1">
      <alignment horizontal="center"/>
      <protection hidden="1"/>
    </xf>
    <xf numFmtId="0" fontId="1" fillId="13" borderId="0" xfId="0" applyFont="1" applyFill="1" applyAlignment="1" applyProtection="1">
      <alignment horizontal="left"/>
      <protection hidden="1"/>
    </xf>
    <xf numFmtId="0" fontId="117" fillId="4" borderId="0" xfId="0" applyFont="1" applyFill="1" applyProtection="1">
      <protection hidden="1"/>
    </xf>
    <xf numFmtId="0" fontId="11" fillId="23" borderId="0" xfId="0" applyFont="1" applyFill="1" applyProtection="1">
      <protection hidden="1"/>
    </xf>
    <xf numFmtId="0" fontId="50" fillId="4" borderId="0" xfId="0" applyFont="1" applyFill="1" applyAlignment="1" applyProtection="1">
      <alignment horizontal="center"/>
      <protection hidden="1"/>
    </xf>
    <xf numFmtId="0" fontId="14" fillId="4" borderId="0" xfId="0" applyFont="1" applyFill="1" applyAlignment="1" applyProtection="1">
      <alignment vertical="top" wrapText="1"/>
      <protection hidden="1"/>
    </xf>
    <xf numFmtId="0" fontId="10" fillId="13" borderId="0" xfId="0" applyFont="1" applyFill="1" applyAlignment="1" applyProtection="1">
      <alignment horizontal="center"/>
      <protection hidden="1"/>
    </xf>
    <xf numFmtId="166" fontId="5" fillId="20" borderId="0" xfId="0" applyNumberFormat="1" applyFont="1" applyFill="1" applyAlignment="1" applyProtection="1">
      <alignment horizontal="center"/>
      <protection hidden="1"/>
    </xf>
    <xf numFmtId="0" fontId="2" fillId="2" borderId="0" xfId="0" applyFont="1" applyFill="1"/>
    <xf numFmtId="0" fontId="22" fillId="4" borderId="0" xfId="0" applyFont="1" applyFill="1" applyAlignment="1" applyProtection="1">
      <alignment horizontal="center"/>
      <protection hidden="1"/>
    </xf>
    <xf numFmtId="0" fontId="118" fillId="4" borderId="0" xfId="0" applyFont="1" applyFill="1" applyAlignment="1" applyProtection="1">
      <alignment horizontal="center"/>
      <protection hidden="1"/>
    </xf>
    <xf numFmtId="0" fontId="22" fillId="4" borderId="0" xfId="0" applyFont="1" applyFill="1" applyAlignment="1" applyProtection="1">
      <alignment horizontal="right"/>
      <protection hidden="1"/>
    </xf>
    <xf numFmtId="0" fontId="22" fillId="13" borderId="0" xfId="0" applyFont="1" applyFill="1" applyAlignment="1" applyProtection="1">
      <alignment horizontal="center"/>
      <protection hidden="1"/>
    </xf>
    <xf numFmtId="0" fontId="11" fillId="2" borderId="1" xfId="0" applyFont="1" applyFill="1" applyBorder="1" applyProtection="1">
      <protection locked="0" hidden="1"/>
    </xf>
    <xf numFmtId="0" fontId="11" fillId="4" borderId="0" xfId="0" applyFont="1" applyFill="1" applyAlignment="1" applyProtection="1">
      <alignment horizontal="center"/>
      <protection hidden="1"/>
    </xf>
    <xf numFmtId="0" fontId="34" fillId="4" borderId="0" xfId="0" applyFont="1" applyFill="1" applyProtection="1">
      <protection hidden="1"/>
    </xf>
    <xf numFmtId="0" fontId="11" fillId="4" borderId="0" xfId="0" applyFont="1" applyFill="1" applyAlignment="1" applyProtection="1">
      <alignment horizontal="left"/>
      <protection hidden="1"/>
    </xf>
    <xf numFmtId="0" fontId="17" fillId="4" borderId="0" xfId="0" applyFont="1" applyFill="1" applyAlignment="1" applyProtection="1">
      <alignment horizontal="left" vertical="top"/>
      <protection hidden="1"/>
    </xf>
    <xf numFmtId="0" fontId="17" fillId="4" borderId="0" xfId="0" applyFont="1" applyFill="1" applyAlignment="1" applyProtection="1">
      <alignment vertical="top"/>
      <protection hidden="1"/>
    </xf>
    <xf numFmtId="0" fontId="0" fillId="2" borderId="0" xfId="0" applyFill="1" applyAlignment="1" applyProtection="1">
      <alignment horizontal="left" vertical="top" wrapText="1"/>
      <protection hidden="1"/>
    </xf>
    <xf numFmtId="14" fontId="69" fillId="2" borderId="0" xfId="0" applyNumberFormat="1" applyFont="1" applyFill="1" applyAlignment="1" applyProtection="1">
      <alignment horizontal="center" vertical="center"/>
      <protection hidden="1"/>
    </xf>
    <xf numFmtId="0" fontId="6" fillId="2" borderId="3" xfId="0" applyFont="1" applyFill="1" applyBorder="1" applyAlignment="1" applyProtection="1">
      <alignment horizontal="center"/>
      <protection hidden="1"/>
    </xf>
    <xf numFmtId="1" fontId="5" fillId="2" borderId="4" xfId="0" applyNumberFormat="1" applyFont="1" applyFill="1" applyBorder="1" applyAlignment="1" applyProtection="1">
      <alignment horizontal="center"/>
      <protection hidden="1"/>
    </xf>
    <xf numFmtId="0" fontId="6" fillId="2" borderId="0" xfId="0" applyFont="1" applyFill="1" applyAlignment="1" applyProtection="1">
      <alignment horizontal="center"/>
      <protection hidden="1"/>
    </xf>
    <xf numFmtId="0" fontId="35" fillId="2" borderId="3" xfId="0" applyFont="1" applyFill="1" applyBorder="1" applyAlignment="1" applyProtection="1">
      <alignment horizontal="right" vertical="top" indent="2"/>
      <protection hidden="1"/>
    </xf>
    <xf numFmtId="0" fontId="0" fillId="3" borderId="0" xfId="0" applyFill="1" applyAlignment="1" applyProtection="1">
      <alignment horizontal="left"/>
      <protection hidden="1"/>
    </xf>
    <xf numFmtId="0" fontId="83" fillId="3" borderId="8" xfId="0" applyFont="1" applyFill="1" applyBorder="1" applyAlignment="1" applyProtection="1">
      <alignment horizontal="left" indent="2"/>
      <protection hidden="1"/>
    </xf>
    <xf numFmtId="0" fontId="2" fillId="3" borderId="8" xfId="0" applyFont="1" applyFill="1" applyBorder="1" applyProtection="1">
      <protection hidden="1"/>
    </xf>
    <xf numFmtId="0" fontId="2" fillId="3" borderId="12" xfId="0" applyFont="1" applyFill="1" applyBorder="1" applyProtection="1">
      <protection hidden="1"/>
    </xf>
    <xf numFmtId="0" fontId="0" fillId="2" borderId="13" xfId="0" applyFill="1" applyBorder="1" applyProtection="1">
      <protection hidden="1"/>
    </xf>
    <xf numFmtId="0" fontId="0" fillId="2" borderId="14" xfId="0" applyFill="1" applyBorder="1" applyProtection="1">
      <protection hidden="1"/>
    </xf>
    <xf numFmtId="0" fontId="0" fillId="2" borderId="8" xfId="0" applyFill="1" applyBorder="1" applyProtection="1">
      <protection hidden="1"/>
    </xf>
    <xf numFmtId="0" fontId="0" fillId="2" borderId="15" xfId="0" applyFill="1" applyBorder="1" applyProtection="1">
      <protection hidden="1"/>
    </xf>
    <xf numFmtId="0" fontId="31" fillId="2" borderId="3" xfId="0" applyFont="1" applyFill="1" applyBorder="1" applyProtection="1">
      <protection hidden="1"/>
    </xf>
    <xf numFmtId="0" fontId="0" fillId="2" borderId="11" xfId="0" applyFill="1" applyBorder="1" applyProtection="1">
      <protection hidden="1"/>
    </xf>
    <xf numFmtId="0" fontId="118" fillId="4" borderId="0" xfId="0" applyFont="1" applyFill="1" applyProtection="1">
      <protection hidden="1"/>
    </xf>
    <xf numFmtId="0" fontId="0" fillId="2" borderId="8" xfId="0" applyFill="1" applyBorder="1" applyAlignment="1" applyProtection="1">
      <alignment vertical="center"/>
      <protection hidden="1"/>
    </xf>
    <xf numFmtId="0" fontId="34" fillId="2" borderId="12" xfId="0" applyFont="1" applyFill="1" applyBorder="1" applyAlignment="1" applyProtection="1">
      <alignment horizontal="left" vertical="center"/>
      <protection hidden="1"/>
    </xf>
    <xf numFmtId="0" fontId="9" fillId="0" borderId="0" xfId="0" applyFont="1" applyProtection="1">
      <protection hidden="1"/>
    </xf>
    <xf numFmtId="0" fontId="2" fillId="2" borderId="12" xfId="0" applyFont="1" applyFill="1" applyBorder="1" applyAlignment="1" applyProtection="1">
      <alignment vertical="top" wrapText="1"/>
      <protection hidden="1"/>
    </xf>
    <xf numFmtId="0" fontId="2" fillId="2" borderId="12" xfId="0" applyFont="1" applyFill="1" applyBorder="1" applyAlignment="1" applyProtection="1">
      <alignment horizontal="left" vertical="top" wrapText="1" indent="3"/>
      <protection hidden="1"/>
    </xf>
    <xf numFmtId="0" fontId="12" fillId="2" borderId="8" xfId="0" applyFont="1" applyFill="1" applyBorder="1" applyAlignment="1" applyProtection="1">
      <alignment vertical="center"/>
      <protection hidden="1"/>
    </xf>
    <xf numFmtId="0" fontId="50" fillId="2" borderId="12" xfId="0" applyFont="1" applyFill="1" applyBorder="1" applyAlignment="1" applyProtection="1">
      <alignment horizontal="left" vertical="center"/>
      <protection hidden="1"/>
    </xf>
    <xf numFmtId="0" fontId="12" fillId="2" borderId="15" xfId="0" applyFont="1" applyFill="1" applyBorder="1" applyProtection="1">
      <protection hidden="1"/>
    </xf>
    <xf numFmtId="0" fontId="12" fillId="2" borderId="11" xfId="0" applyFont="1" applyFill="1" applyBorder="1" applyProtection="1">
      <protection hidden="1"/>
    </xf>
    <xf numFmtId="0" fontId="0" fillId="2" borderId="12" xfId="0" applyFill="1" applyBorder="1" applyAlignment="1" applyProtection="1">
      <alignment horizontal="right"/>
      <protection hidden="1"/>
    </xf>
    <xf numFmtId="0" fontId="0" fillId="2" borderId="8"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11" xfId="0" applyFill="1" applyBorder="1" applyAlignment="1" applyProtection="1">
      <alignment horizontal="left" indent="2"/>
      <protection hidden="1"/>
    </xf>
    <xf numFmtId="0" fontId="0" fillId="2" borderId="13" xfId="0" applyFill="1" applyBorder="1" applyAlignment="1" applyProtection="1">
      <alignment vertical="center" wrapText="1"/>
      <protection hidden="1"/>
    </xf>
    <xf numFmtId="0" fontId="0" fillId="2" borderId="14" xfId="0" applyFill="1" applyBorder="1" applyAlignment="1" applyProtection="1">
      <alignment vertical="center" wrapText="1"/>
      <protection hidden="1"/>
    </xf>
    <xf numFmtId="0" fontId="0" fillId="2" borderId="8" xfId="0" applyFill="1" applyBorder="1" applyAlignment="1" applyProtection="1">
      <alignment vertical="center" wrapText="1"/>
      <protection hidden="1"/>
    </xf>
    <xf numFmtId="0" fontId="0" fillId="2" borderId="12" xfId="0" applyFill="1" applyBorder="1" applyAlignment="1" applyProtection="1">
      <alignment vertical="center" wrapText="1"/>
      <protection hidden="1"/>
    </xf>
    <xf numFmtId="0" fontId="0" fillId="2" borderId="15" xfId="0" applyFill="1" applyBorder="1" applyAlignment="1" applyProtection="1">
      <alignment vertical="center" wrapText="1"/>
      <protection hidden="1"/>
    </xf>
    <xf numFmtId="0" fontId="0" fillId="2" borderId="11" xfId="0" applyFill="1" applyBorder="1" applyAlignment="1" applyProtection="1">
      <alignment vertical="center" wrapText="1"/>
      <protection hidden="1"/>
    </xf>
    <xf numFmtId="0" fontId="43" fillId="40" borderId="15" xfId="0" applyFont="1" applyFill="1" applyBorder="1"/>
    <xf numFmtId="0" fontId="0" fillId="55" borderId="10" xfId="0" applyFill="1" applyBorder="1" applyProtection="1">
      <protection hidden="1"/>
    </xf>
    <xf numFmtId="0" fontId="2" fillId="55" borderId="4" xfId="0" applyFont="1" applyFill="1" applyBorder="1" applyAlignment="1" applyProtection="1">
      <alignment vertical="center"/>
      <protection hidden="1"/>
    </xf>
    <xf numFmtId="0" fontId="0" fillId="55" borderId="4" xfId="0" applyFill="1" applyBorder="1" applyProtection="1">
      <protection hidden="1"/>
    </xf>
    <xf numFmtId="0" fontId="2" fillId="55" borderId="4" xfId="0" applyFont="1" applyFill="1" applyBorder="1" applyAlignment="1" applyProtection="1">
      <alignment horizontal="right" vertical="center"/>
      <protection hidden="1"/>
    </xf>
    <xf numFmtId="0" fontId="0" fillId="55" borderId="9" xfId="0" applyFill="1" applyBorder="1" applyProtection="1">
      <protection hidden="1"/>
    </xf>
    <xf numFmtId="0" fontId="21" fillId="55" borderId="10" xfId="0" applyFont="1" applyFill="1" applyBorder="1" applyProtection="1">
      <protection hidden="1"/>
    </xf>
    <xf numFmtId="0" fontId="19" fillId="55" borderId="4" xfId="0" applyFont="1" applyFill="1" applyBorder="1" applyAlignment="1" applyProtection="1">
      <alignment vertical="center"/>
      <protection hidden="1"/>
    </xf>
    <xf numFmtId="0" fontId="21" fillId="55" borderId="4" xfId="0" applyFont="1" applyFill="1" applyBorder="1" applyProtection="1">
      <protection hidden="1"/>
    </xf>
    <xf numFmtId="0" fontId="73" fillId="55" borderId="4" xfId="0" applyFont="1" applyFill="1" applyBorder="1" applyAlignment="1" applyProtection="1">
      <alignment horizontal="right"/>
      <protection hidden="1"/>
    </xf>
    <xf numFmtId="0" fontId="21" fillId="55" borderId="9" xfId="0" applyFont="1" applyFill="1" applyBorder="1" applyProtection="1">
      <protection hidden="1"/>
    </xf>
    <xf numFmtId="0" fontId="1" fillId="55" borderId="4" xfId="0" applyFont="1" applyFill="1" applyBorder="1" applyAlignment="1" applyProtection="1">
      <alignment horizontal="right" vertical="center"/>
      <protection hidden="1"/>
    </xf>
    <xf numFmtId="0" fontId="0" fillId="55" borderId="10" xfId="0" applyFill="1" applyBorder="1" applyAlignment="1" applyProtection="1">
      <alignment vertical="center"/>
      <protection hidden="1"/>
    </xf>
    <xf numFmtId="0" fontId="0" fillId="55" borderId="4" xfId="0" applyFill="1" applyBorder="1" applyAlignment="1" applyProtection="1">
      <alignment vertical="center"/>
      <protection hidden="1"/>
    </xf>
    <xf numFmtId="0" fontId="0" fillId="55" borderId="9" xfId="0" applyFill="1" applyBorder="1" applyAlignment="1" applyProtection="1">
      <alignment vertical="center"/>
      <protection hidden="1"/>
    </xf>
    <xf numFmtId="0" fontId="1" fillId="55" borderId="4" xfId="0" applyFont="1" applyFill="1" applyBorder="1" applyAlignment="1" applyProtection="1">
      <alignment vertical="center"/>
      <protection hidden="1"/>
    </xf>
    <xf numFmtId="0" fontId="1" fillId="55" borderId="4" xfId="0" applyFont="1" applyFill="1" applyBorder="1" applyProtection="1">
      <protection hidden="1"/>
    </xf>
    <xf numFmtId="0" fontId="1" fillId="55" borderId="4" xfId="0" applyFont="1" applyFill="1" applyBorder="1" applyAlignment="1" applyProtection="1">
      <alignment horizontal="right"/>
      <protection hidden="1"/>
    </xf>
    <xf numFmtId="0" fontId="108" fillId="3" borderId="0" xfId="0" applyFont="1" applyFill="1" applyAlignment="1" applyProtection="1">
      <alignment horizontal="right"/>
      <protection hidden="1"/>
    </xf>
    <xf numFmtId="0" fontId="2" fillId="55" borderId="4" xfId="0" applyFont="1" applyFill="1" applyBorder="1" applyProtection="1">
      <protection hidden="1"/>
    </xf>
    <xf numFmtId="0" fontId="2" fillId="55" borderId="4" xfId="0" applyFont="1" applyFill="1" applyBorder="1" applyAlignment="1" applyProtection="1">
      <alignment horizontal="right"/>
      <protection hidden="1"/>
    </xf>
    <xf numFmtId="0" fontId="16" fillId="10" borderId="0" xfId="0" applyFont="1" applyFill="1" applyAlignment="1" applyProtection="1">
      <alignment horizontal="left"/>
      <protection hidden="1"/>
    </xf>
    <xf numFmtId="0" fontId="16" fillId="20" borderId="0" xfId="0" applyFont="1" applyFill="1" applyAlignment="1" applyProtection="1">
      <alignment horizontal="left"/>
      <protection hidden="1"/>
    </xf>
    <xf numFmtId="0" fontId="2" fillId="34" borderId="0" xfId="0" applyFont="1" applyFill="1" applyAlignment="1" applyProtection="1">
      <alignment horizontal="left" indent="1"/>
      <protection hidden="1"/>
    </xf>
    <xf numFmtId="0" fontId="41" fillId="34" borderId="0" xfId="0" applyFont="1" applyFill="1" applyProtection="1">
      <protection hidden="1"/>
    </xf>
    <xf numFmtId="0" fontId="2" fillId="35" borderId="0" xfId="0" applyFont="1" applyFill="1" applyAlignment="1" applyProtection="1">
      <alignment horizontal="left" indent="1"/>
      <protection hidden="1"/>
    </xf>
    <xf numFmtId="0" fontId="121" fillId="2" borderId="10" xfId="0" applyFont="1" applyFill="1" applyBorder="1" applyAlignment="1" applyProtection="1">
      <alignment horizontal="center"/>
      <protection hidden="1"/>
    </xf>
    <xf numFmtId="0" fontId="101" fillId="41" borderId="5" xfId="0" applyFont="1" applyFill="1" applyBorder="1" applyAlignment="1">
      <alignment horizontal="center" vertical="center" wrapText="1"/>
    </xf>
    <xf numFmtId="0" fontId="101" fillId="41" borderId="6" xfId="0" applyFont="1" applyFill="1" applyBorder="1" applyAlignment="1">
      <alignment horizontal="center" vertical="center" wrapText="1"/>
    </xf>
    <xf numFmtId="0" fontId="101" fillId="41" borderId="7" xfId="0" applyFont="1" applyFill="1" applyBorder="1" applyAlignment="1">
      <alignment horizontal="center" vertical="center" wrapText="1"/>
    </xf>
    <xf numFmtId="0" fontId="98" fillId="21" borderId="5" xfId="0" applyFont="1" applyFill="1" applyBorder="1" applyAlignment="1">
      <alignment horizontal="center" vertical="center"/>
    </xf>
    <xf numFmtId="0" fontId="98" fillId="21" borderId="7" xfId="0" applyFont="1" applyFill="1" applyBorder="1" applyAlignment="1">
      <alignment horizontal="center" vertical="center"/>
    </xf>
    <xf numFmtId="0" fontId="98" fillId="11" borderId="5" xfId="0" applyFont="1" applyFill="1" applyBorder="1" applyAlignment="1">
      <alignment horizontal="center" vertical="center"/>
    </xf>
    <xf numFmtId="0" fontId="98" fillId="11" borderId="7" xfId="0" applyFont="1" applyFill="1" applyBorder="1" applyAlignment="1">
      <alignment horizontal="center" vertical="center"/>
    </xf>
    <xf numFmtId="0" fontId="101" fillId="9" borderId="5" xfId="0" applyFont="1" applyFill="1" applyBorder="1" applyAlignment="1">
      <alignment horizontal="center" vertical="center"/>
    </xf>
    <xf numFmtId="0" fontId="101" fillId="9" borderId="7" xfId="0" applyFont="1" applyFill="1" applyBorder="1" applyAlignment="1">
      <alignment horizontal="center" vertical="center"/>
    </xf>
    <xf numFmtId="0" fontId="101" fillId="9" borderId="5" xfId="0" applyFont="1" applyFill="1" applyBorder="1" applyAlignment="1">
      <alignment horizontal="center" vertical="center" wrapText="1"/>
    </xf>
    <xf numFmtId="0" fontId="101" fillId="9" borderId="6" xfId="0" applyFont="1" applyFill="1" applyBorder="1" applyAlignment="1">
      <alignment horizontal="center" vertical="center" wrapText="1"/>
    </xf>
    <xf numFmtId="0" fontId="101" fillId="9" borderId="7" xfId="0" applyFont="1" applyFill="1" applyBorder="1" applyAlignment="1">
      <alignment horizontal="center" vertical="center" wrapText="1"/>
    </xf>
    <xf numFmtId="0" fontId="101" fillId="41" borderId="5" xfId="0" applyFont="1" applyFill="1" applyBorder="1" applyAlignment="1">
      <alignment horizontal="center" vertical="center"/>
    </xf>
    <xf numFmtId="0" fontId="101" fillId="41" borderId="7" xfId="0" applyFont="1" applyFill="1" applyBorder="1" applyAlignment="1">
      <alignment horizontal="center" vertical="center"/>
    </xf>
    <xf numFmtId="0" fontId="100" fillId="8" borderId="13" xfId="0" applyFont="1" applyFill="1" applyBorder="1" applyAlignment="1">
      <alignment horizontal="center" vertical="center" wrapText="1"/>
    </xf>
    <xf numFmtId="0" fontId="100" fillId="8" borderId="2" xfId="0" applyFont="1" applyFill="1" applyBorder="1" applyAlignment="1">
      <alignment horizontal="center" vertical="center" wrapText="1"/>
    </xf>
    <xf numFmtId="0" fontId="100" fillId="8" borderId="14" xfId="0" applyFont="1" applyFill="1" applyBorder="1" applyAlignment="1">
      <alignment horizontal="center" vertical="center" wrapText="1"/>
    </xf>
    <xf numFmtId="0" fontId="100" fillId="8" borderId="8" xfId="0" applyFont="1" applyFill="1" applyBorder="1" applyAlignment="1">
      <alignment horizontal="center" vertical="center" wrapText="1"/>
    </xf>
    <xf numFmtId="0" fontId="100" fillId="8" borderId="0" xfId="0" applyFont="1" applyFill="1" applyAlignment="1">
      <alignment horizontal="center" vertical="center" wrapText="1"/>
    </xf>
    <xf numFmtId="0" fontId="100" fillId="8" borderId="12" xfId="0" applyFont="1" applyFill="1" applyBorder="1" applyAlignment="1">
      <alignment horizontal="center" vertical="center" wrapText="1"/>
    </xf>
    <xf numFmtId="0" fontId="100" fillId="8" borderId="15" xfId="0" applyFont="1" applyFill="1" applyBorder="1" applyAlignment="1">
      <alignment horizontal="center" vertical="center" wrapText="1"/>
    </xf>
    <xf numFmtId="0" fontId="100" fillId="8" borderId="3" xfId="0" applyFont="1" applyFill="1" applyBorder="1" applyAlignment="1">
      <alignment horizontal="center" vertical="center" wrapText="1"/>
    </xf>
    <xf numFmtId="0" fontId="100" fillId="8" borderId="11" xfId="0" applyFont="1" applyFill="1" applyBorder="1" applyAlignment="1">
      <alignment horizontal="center" vertical="center" wrapText="1"/>
    </xf>
    <xf numFmtId="0" fontId="98" fillId="10" borderId="13" xfId="0" applyFont="1" applyFill="1" applyBorder="1" applyAlignment="1">
      <alignment horizontal="left" vertical="center"/>
    </xf>
    <xf numFmtId="0" fontId="98" fillId="10" borderId="14" xfId="0" applyFont="1" applyFill="1" applyBorder="1" applyAlignment="1">
      <alignment horizontal="left" vertical="center"/>
    </xf>
    <xf numFmtId="0" fontId="98" fillId="10" borderId="15" xfId="0" applyFont="1" applyFill="1" applyBorder="1" applyAlignment="1">
      <alignment horizontal="left" vertical="center"/>
    </xf>
    <xf numFmtId="0" fontId="98" fillId="10" borderId="11" xfId="0" applyFont="1" applyFill="1" applyBorder="1" applyAlignment="1">
      <alignment horizontal="left" vertical="center"/>
    </xf>
    <xf numFmtId="0" fontId="98" fillId="41" borderId="13" xfId="0" applyFont="1" applyFill="1" applyBorder="1" applyAlignment="1">
      <alignment horizontal="center" vertical="center" wrapText="1"/>
    </xf>
    <xf numFmtId="0" fontId="98" fillId="41" borderId="14" xfId="0" applyFont="1" applyFill="1" applyBorder="1" applyAlignment="1">
      <alignment horizontal="center" vertical="center" wrapText="1"/>
    </xf>
    <xf numFmtId="0" fontId="98" fillId="41" borderId="8" xfId="0" applyFont="1" applyFill="1" applyBorder="1" applyAlignment="1">
      <alignment horizontal="center" vertical="center" wrapText="1"/>
    </xf>
    <xf numFmtId="0" fontId="98" fillId="41" borderId="12" xfId="0" applyFont="1" applyFill="1" applyBorder="1" applyAlignment="1">
      <alignment horizontal="center" vertical="center" wrapText="1"/>
    </xf>
    <xf numFmtId="0" fontId="98" fillId="41" borderId="15" xfId="0" applyFont="1" applyFill="1" applyBorder="1" applyAlignment="1">
      <alignment horizontal="center" vertical="center" wrapText="1"/>
    </xf>
    <xf numFmtId="0" fontId="98" fillId="41" borderId="11" xfId="0" applyFont="1" applyFill="1" applyBorder="1" applyAlignment="1">
      <alignment horizontal="center" vertical="center" wrapText="1"/>
    </xf>
    <xf numFmtId="0" fontId="88" fillId="4" borderId="0" xfId="0" applyFont="1" applyFill="1" applyAlignment="1" applyProtection="1">
      <alignment horizontal="left" vertical="center"/>
      <protection hidden="1"/>
    </xf>
    <xf numFmtId="0" fontId="20" fillId="16" borderId="8" xfId="0" applyFont="1" applyFill="1" applyBorder="1" applyAlignment="1" applyProtection="1">
      <alignment horizontal="center"/>
      <protection hidden="1"/>
    </xf>
    <xf numFmtId="0" fontId="20" fillId="16" borderId="0" xfId="0" applyFont="1" applyFill="1" applyAlignment="1" applyProtection="1">
      <alignment horizontal="center"/>
      <protection hidden="1"/>
    </xf>
    <xf numFmtId="14" fontId="69" fillId="2" borderId="0" xfId="0" applyNumberFormat="1" applyFont="1" applyFill="1" applyAlignment="1" applyProtection="1">
      <alignment horizontal="center" vertical="center"/>
      <protection hidden="1"/>
    </xf>
    <xf numFmtId="0" fontId="0" fillId="2" borderId="13" xfId="0"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2" borderId="8" xfId="0" applyFill="1" applyBorder="1" applyAlignment="1" applyProtection="1">
      <alignment horizontal="center"/>
      <protection hidden="1"/>
    </xf>
    <xf numFmtId="0" fontId="0" fillId="2" borderId="0" xfId="0" applyFill="1" applyAlignment="1" applyProtection="1">
      <alignment horizontal="center"/>
      <protection hidden="1"/>
    </xf>
    <xf numFmtId="0" fontId="0" fillId="2" borderId="12"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3"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24" fillId="2" borderId="0" xfId="0" applyFont="1" applyFill="1" applyAlignment="1" applyProtection="1">
      <alignment horizontal="center" vertical="center"/>
      <protection hidden="1"/>
    </xf>
    <xf numFmtId="0" fontId="23" fillId="2" borderId="15" xfId="0" applyFont="1" applyFill="1" applyBorder="1" applyAlignment="1" applyProtection="1">
      <alignment horizontal="center" vertical="top"/>
      <protection hidden="1"/>
    </xf>
    <xf numFmtId="0" fontId="23" fillId="2" borderId="3" xfId="0" applyFont="1" applyFill="1" applyBorder="1" applyAlignment="1" applyProtection="1">
      <alignment horizontal="center" vertical="top"/>
      <protection hidden="1"/>
    </xf>
    <xf numFmtId="0" fontId="23" fillId="2" borderId="11" xfId="0" applyFont="1" applyFill="1" applyBorder="1" applyAlignment="1" applyProtection="1">
      <alignment horizontal="center" vertical="top"/>
      <protection hidden="1"/>
    </xf>
    <xf numFmtId="0" fontId="20" fillId="16" borderId="12" xfId="0" applyFont="1" applyFill="1" applyBorder="1" applyAlignment="1" applyProtection="1">
      <alignment horizontal="center"/>
      <protection hidden="1"/>
    </xf>
    <xf numFmtId="0" fontId="0" fillId="14" borderId="0" xfId="0" applyFill="1" applyAlignment="1" applyProtection="1">
      <alignment horizontal="left"/>
      <protection hidden="1"/>
    </xf>
    <xf numFmtId="0" fontId="82" fillId="2" borderId="0" xfId="0" applyFont="1" applyFill="1" applyAlignment="1" applyProtection="1">
      <alignment horizontal="center" vertical="top" wrapText="1"/>
      <protection hidden="1"/>
    </xf>
    <xf numFmtId="0" fontId="2" fillId="14" borderId="0" xfId="0" applyFont="1" applyFill="1" applyAlignment="1" applyProtection="1">
      <alignment horizontal="left"/>
      <protection hidden="1"/>
    </xf>
    <xf numFmtId="0" fontId="0" fillId="2" borderId="10" xfId="0" applyFill="1" applyBorder="1" applyAlignment="1" applyProtection="1">
      <alignment horizontal="center"/>
      <protection locked="0" hidden="1"/>
    </xf>
    <xf numFmtId="0" fontId="0" fillId="2" borderId="9" xfId="0" applyFill="1" applyBorder="1" applyAlignment="1" applyProtection="1">
      <alignment horizontal="center"/>
      <protection locked="0" hidden="1"/>
    </xf>
    <xf numFmtId="0" fontId="14" fillId="35" borderId="2" xfId="0" applyFont="1" applyFill="1" applyBorder="1" applyAlignment="1" applyProtection="1">
      <alignment horizontal="center"/>
      <protection hidden="1"/>
    </xf>
    <xf numFmtId="0" fontId="0" fillId="2" borderId="0" xfId="0" applyFill="1" applyAlignment="1" applyProtection="1">
      <alignment horizontal="left"/>
      <protection hidden="1"/>
    </xf>
    <xf numFmtId="0" fontId="0" fillId="2" borderId="12" xfId="0" applyFill="1" applyBorder="1" applyAlignment="1" applyProtection="1">
      <alignment horizontal="left"/>
      <protection hidden="1"/>
    </xf>
    <xf numFmtId="0" fontId="1" fillId="2" borderId="10" xfId="0" applyFont="1" applyFill="1" applyBorder="1" applyAlignment="1" applyProtection="1">
      <alignment horizontal="center"/>
      <protection hidden="1"/>
    </xf>
    <xf numFmtId="0" fontId="1" fillId="2" borderId="9" xfId="0" applyFont="1" applyFill="1" applyBorder="1" applyAlignment="1" applyProtection="1">
      <alignment horizontal="center"/>
      <protection hidden="1"/>
    </xf>
    <xf numFmtId="0" fontId="1" fillId="15" borderId="8" xfId="0" applyFont="1" applyFill="1" applyBorder="1" applyAlignment="1" applyProtection="1">
      <alignment horizontal="center"/>
      <protection hidden="1"/>
    </xf>
    <xf numFmtId="0" fontId="1" fillId="15" borderId="12" xfId="0" applyFont="1" applyFill="1" applyBorder="1" applyAlignment="1" applyProtection="1">
      <alignment horizontal="center"/>
      <protection hidden="1"/>
    </xf>
    <xf numFmtId="0" fontId="1" fillId="6" borderId="8" xfId="0" applyFont="1" applyFill="1" applyBorder="1" applyAlignment="1" applyProtection="1">
      <alignment horizontal="center"/>
      <protection hidden="1"/>
    </xf>
    <xf numFmtId="0" fontId="1" fillId="6" borderId="12" xfId="0" applyFont="1" applyFill="1" applyBorder="1" applyAlignment="1" applyProtection="1">
      <alignment horizontal="center"/>
      <protection hidden="1"/>
    </xf>
    <xf numFmtId="0" fontId="1" fillId="6" borderId="0" xfId="0" applyFont="1" applyFill="1" applyAlignment="1" applyProtection="1">
      <alignment horizontal="left"/>
      <protection hidden="1"/>
    </xf>
    <xf numFmtId="0" fontId="1" fillId="6" borderId="12" xfId="0" applyFont="1" applyFill="1"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4" xfId="0" applyFill="1" applyBorder="1" applyAlignment="1" applyProtection="1">
      <alignment horizontal="left"/>
      <protection hidden="1"/>
    </xf>
    <xf numFmtId="0" fontId="0" fillId="2" borderId="2" xfId="0" applyFill="1" applyBorder="1" applyAlignment="1" applyProtection="1">
      <alignment horizontal="left"/>
      <protection hidden="1"/>
    </xf>
    <xf numFmtId="0" fontId="0" fillId="2" borderId="14" xfId="0" applyFill="1" applyBorder="1" applyAlignment="1" applyProtection="1">
      <alignment horizontal="left"/>
      <protection hidden="1"/>
    </xf>
    <xf numFmtId="0" fontId="0" fillId="2" borderId="5" xfId="0" applyFill="1" applyBorder="1" applyAlignment="1" applyProtection="1">
      <alignment horizontal="center" vertical="center"/>
      <protection hidden="1"/>
    </xf>
    <xf numFmtId="0" fontId="0" fillId="2" borderId="6" xfId="0" applyFill="1" applyBorder="1" applyAlignment="1" applyProtection="1">
      <alignment horizontal="center" vertical="center"/>
      <protection hidden="1"/>
    </xf>
    <xf numFmtId="0" fontId="0" fillId="2" borderId="7" xfId="0" applyFill="1" applyBorder="1" applyAlignment="1" applyProtection="1">
      <alignment horizontal="center" vertical="center"/>
      <protection hidden="1"/>
    </xf>
    <xf numFmtId="0" fontId="0" fillId="2" borderId="1" xfId="0" applyFill="1" applyBorder="1" applyAlignment="1" applyProtection="1">
      <alignment horizontal="left"/>
      <protection hidden="1"/>
    </xf>
    <xf numFmtId="0" fontId="0" fillId="4" borderId="0" xfId="0" applyFill="1" applyAlignment="1" applyProtection="1">
      <alignment horizontal="center"/>
      <protection hidden="1"/>
    </xf>
    <xf numFmtId="0" fontId="12" fillId="2" borderId="3" xfId="0" applyFont="1" applyFill="1" applyBorder="1" applyAlignment="1" applyProtection="1">
      <alignment horizontal="center"/>
      <protection hidden="1"/>
    </xf>
    <xf numFmtId="0" fontId="0" fillId="2" borderId="0" xfId="0" applyFill="1" applyAlignment="1" applyProtection="1">
      <alignment horizontal="left" vertical="top" wrapText="1"/>
      <protection hidden="1"/>
    </xf>
    <xf numFmtId="0" fontId="0" fillId="2" borderId="12" xfId="0" applyFill="1" applyBorder="1" applyAlignment="1" applyProtection="1">
      <alignment horizontal="left" vertical="top" wrapText="1"/>
      <protection hidden="1"/>
    </xf>
    <xf numFmtId="0" fontId="0" fillId="2" borderId="10" xfId="0" applyFill="1" applyBorder="1" applyAlignment="1" applyProtection="1">
      <alignment horizontal="center"/>
      <protection hidden="1"/>
    </xf>
    <xf numFmtId="0" fontId="0" fillId="2" borderId="9" xfId="0" applyFill="1" applyBorder="1" applyAlignment="1" applyProtection="1">
      <alignment horizontal="center"/>
      <protection hidden="1"/>
    </xf>
    <xf numFmtId="0" fontId="1" fillId="6" borderId="0" xfId="0" applyFont="1" applyFill="1" applyAlignment="1" applyProtection="1">
      <alignment horizontal="center"/>
      <protection hidden="1"/>
    </xf>
    <xf numFmtId="0" fontId="0" fillId="5" borderId="0" xfId="0" applyFill="1" applyAlignment="1" applyProtection="1">
      <alignment horizontal="left" indent="4"/>
      <protection hidden="1"/>
    </xf>
    <xf numFmtId="0" fontId="1" fillId="15" borderId="13" xfId="0" applyFont="1" applyFill="1" applyBorder="1" applyAlignment="1" applyProtection="1">
      <alignment horizontal="center"/>
      <protection hidden="1"/>
    </xf>
    <xf numFmtId="0" fontId="1" fillId="15" borderId="14" xfId="0" applyFont="1" applyFill="1" applyBorder="1" applyAlignment="1" applyProtection="1">
      <alignment horizontal="center"/>
      <protection hidden="1"/>
    </xf>
    <xf numFmtId="0" fontId="4" fillId="6" borderId="2" xfId="0" applyFont="1" applyFill="1" applyBorder="1" applyAlignment="1" applyProtection="1">
      <alignment horizontal="center"/>
      <protection hidden="1"/>
    </xf>
    <xf numFmtId="0" fontId="4" fillId="6" borderId="14" xfId="0" applyFont="1" applyFill="1" applyBorder="1" applyAlignment="1" applyProtection="1">
      <alignment horizontal="center"/>
      <protection hidden="1"/>
    </xf>
    <xf numFmtId="0" fontId="26" fillId="26" borderId="5" xfId="0" applyFont="1" applyFill="1" applyBorder="1" applyAlignment="1" applyProtection="1">
      <alignment horizontal="center" vertical="center" textRotation="90"/>
      <protection hidden="1"/>
    </xf>
    <xf numFmtId="0" fontId="26" fillId="26" borderId="6" xfId="0" applyFont="1" applyFill="1" applyBorder="1" applyAlignment="1" applyProtection="1">
      <alignment horizontal="center" vertical="center" textRotation="90"/>
      <protection hidden="1"/>
    </xf>
    <xf numFmtId="0" fontId="26" fillId="26" borderId="7" xfId="0" applyFont="1" applyFill="1" applyBorder="1" applyAlignment="1" applyProtection="1">
      <alignment horizontal="center" vertical="center" textRotation="90"/>
      <protection hidden="1"/>
    </xf>
    <xf numFmtId="0" fontId="1" fillId="6" borderId="2" xfId="0" applyFont="1" applyFill="1" applyBorder="1" applyAlignment="1" applyProtection="1">
      <alignment horizontal="center"/>
      <protection hidden="1"/>
    </xf>
    <xf numFmtId="0" fontId="1" fillId="6" borderId="14" xfId="0" applyFont="1" applyFill="1" applyBorder="1" applyAlignment="1" applyProtection="1">
      <alignment horizontal="center"/>
      <protection hidden="1"/>
    </xf>
    <xf numFmtId="0" fontId="71" fillId="2" borderId="5" xfId="0" applyFont="1" applyFill="1" applyBorder="1" applyAlignment="1" applyProtection="1">
      <alignment horizontal="center" vertical="center"/>
      <protection hidden="1"/>
    </xf>
    <xf numFmtId="0" fontId="71" fillId="2" borderId="6" xfId="0" applyFont="1" applyFill="1" applyBorder="1" applyAlignment="1" applyProtection="1">
      <alignment horizontal="center" vertical="center"/>
      <protection hidden="1"/>
    </xf>
    <xf numFmtId="0" fontId="71" fillId="2" borderId="7" xfId="0" applyFont="1" applyFill="1" applyBorder="1" applyAlignment="1" applyProtection="1">
      <alignment horizontal="center" vertical="center"/>
      <protection hidden="1"/>
    </xf>
    <xf numFmtId="0" fontId="1" fillId="5" borderId="0" xfId="0" applyFont="1" applyFill="1" applyAlignment="1" applyProtection="1">
      <alignment horizontal="left" vertical="center" wrapText="1"/>
      <protection hidden="1"/>
    </xf>
    <xf numFmtId="0" fontId="1" fillId="6" borderId="3" xfId="0" applyFont="1" applyFill="1" applyBorder="1" applyAlignment="1" applyProtection="1">
      <alignment horizontal="center"/>
      <protection hidden="1"/>
    </xf>
    <xf numFmtId="0" fontId="1" fillId="6" borderId="11" xfId="0" applyFont="1" applyFill="1" applyBorder="1" applyAlignment="1" applyProtection="1">
      <alignment horizontal="center"/>
      <protection hidden="1"/>
    </xf>
    <xf numFmtId="0" fontId="27" fillId="2" borderId="10" xfId="0" applyFont="1" applyFill="1" applyBorder="1" applyAlignment="1" applyProtection="1">
      <alignment horizontal="center" vertical="center"/>
      <protection hidden="1"/>
    </xf>
    <xf numFmtId="0" fontId="27" fillId="2" borderId="4" xfId="0" applyFont="1" applyFill="1" applyBorder="1" applyAlignment="1" applyProtection="1">
      <alignment horizontal="center" vertical="center"/>
      <protection hidden="1"/>
    </xf>
    <xf numFmtId="0" fontId="27" fillId="2"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hidden="1"/>
    </xf>
    <xf numFmtId="0" fontId="11" fillId="2" borderId="4" xfId="0" applyFont="1" applyFill="1" applyBorder="1" applyAlignment="1" applyProtection="1">
      <alignment horizontal="center"/>
      <protection hidden="1"/>
    </xf>
    <xf numFmtId="0" fontId="11" fillId="2" borderId="9" xfId="0" applyFont="1" applyFill="1" applyBorder="1" applyAlignment="1" applyProtection="1">
      <alignment horizontal="center"/>
      <protection hidden="1"/>
    </xf>
    <xf numFmtId="0" fontId="19" fillId="31" borderId="0" xfId="0" applyFont="1" applyFill="1" applyAlignment="1" applyProtection="1">
      <alignment horizontal="center"/>
      <protection hidden="1"/>
    </xf>
    <xf numFmtId="0" fontId="19" fillId="2" borderId="10" xfId="0" applyFont="1" applyFill="1" applyBorder="1" applyAlignment="1" applyProtection="1">
      <alignment horizontal="center"/>
      <protection hidden="1"/>
    </xf>
    <xf numFmtId="0" fontId="19" fillId="2" borderId="9" xfId="0" applyFont="1" applyFill="1" applyBorder="1" applyAlignment="1" applyProtection="1">
      <alignment horizontal="center"/>
      <protection hidden="1"/>
    </xf>
    <xf numFmtId="0" fontId="10" fillId="2" borderId="3" xfId="0" applyFont="1" applyFill="1" applyBorder="1" applyAlignment="1" applyProtection="1">
      <alignment horizontal="right" vertical="top" wrapText="1"/>
      <protection hidden="1"/>
    </xf>
    <xf numFmtId="0" fontId="0" fillId="2" borderId="3" xfId="0" applyFill="1" applyBorder="1" applyAlignment="1" applyProtection="1">
      <alignment horizontal="left" vertical="top" wrapText="1"/>
      <protection hidden="1"/>
    </xf>
    <xf numFmtId="0" fontId="1" fillId="5" borderId="0" xfId="0" applyFont="1" applyFill="1" applyAlignment="1" applyProtection="1">
      <alignment horizontal="center" vertical="center" wrapText="1"/>
      <protection hidden="1"/>
    </xf>
    <xf numFmtId="0" fontId="4" fillId="21" borderId="0" xfId="0" applyFont="1" applyFill="1" applyAlignment="1" applyProtection="1">
      <alignment horizontal="center"/>
      <protection hidden="1"/>
    </xf>
    <xf numFmtId="0" fontId="0" fillId="0" borderId="10" xfId="0" applyBorder="1" applyAlignment="1" applyProtection="1">
      <alignment horizontal="left"/>
      <protection hidden="1"/>
    </xf>
    <xf numFmtId="0" fontId="0" fillId="0" borderId="4" xfId="0" applyBorder="1" applyAlignment="1" applyProtection="1">
      <alignment horizontal="left"/>
      <protection hidden="1"/>
    </xf>
    <xf numFmtId="0" fontId="0" fillId="0" borderId="9" xfId="0" applyBorder="1" applyAlignment="1" applyProtection="1">
      <alignment horizontal="left"/>
      <protection hidden="1"/>
    </xf>
    <xf numFmtId="0" fontId="16" fillId="20" borderId="0" xfId="0" applyFont="1" applyFill="1" applyAlignment="1" applyProtection="1">
      <alignment horizontal="center"/>
      <protection hidden="1"/>
    </xf>
    <xf numFmtId="0" fontId="53" fillId="19" borderId="0" xfId="0" applyFont="1" applyFill="1" applyAlignment="1" applyProtection="1">
      <alignment horizontal="center" textRotation="90"/>
      <protection hidden="1"/>
    </xf>
    <xf numFmtId="0" fontId="7" fillId="19" borderId="0" xfId="0" applyFont="1" applyFill="1" applyAlignment="1" applyProtection="1">
      <alignment horizontal="center" textRotation="90"/>
      <protection hidden="1"/>
    </xf>
    <xf numFmtId="0" fontId="4" fillId="7" borderId="0" xfId="0" applyFont="1" applyFill="1" applyAlignment="1" applyProtection="1">
      <alignment horizontal="center"/>
      <protection hidden="1"/>
    </xf>
    <xf numFmtId="0" fontId="24" fillId="19" borderId="0" xfId="0" applyFont="1" applyFill="1" applyAlignment="1" applyProtection="1">
      <alignment horizontal="left" vertical="top"/>
      <protection hidden="1"/>
    </xf>
    <xf numFmtId="0" fontId="0" fillId="3" borderId="0" xfId="0" applyFill="1" applyAlignment="1" applyProtection="1">
      <alignment horizontal="left" vertical="top" wrapText="1" indent="2"/>
      <protection hidden="1"/>
    </xf>
    <xf numFmtId="0" fontId="0" fillId="3" borderId="0" xfId="0" applyFill="1" applyAlignment="1" applyProtection="1">
      <alignment horizontal="left"/>
      <protection hidden="1"/>
    </xf>
    <xf numFmtId="0" fontId="24" fillId="11" borderId="0" xfId="0" applyFont="1" applyFill="1" applyAlignment="1" applyProtection="1">
      <alignment horizontal="center"/>
      <protection hidden="1"/>
    </xf>
    <xf numFmtId="0" fontId="24" fillId="11" borderId="3" xfId="0" applyFont="1" applyFill="1" applyBorder="1" applyAlignment="1" applyProtection="1">
      <alignment horizontal="center"/>
      <protection hidden="1"/>
    </xf>
    <xf numFmtId="0" fontId="16" fillId="12" borderId="0" xfId="0" applyFont="1" applyFill="1" applyAlignment="1" applyProtection="1">
      <alignment horizontal="center"/>
      <protection hidden="1"/>
    </xf>
    <xf numFmtId="0" fontId="4" fillId="6" borderId="0" xfId="0" applyFont="1" applyFill="1" applyAlignment="1" applyProtection="1">
      <alignment horizontal="center"/>
      <protection hidden="1"/>
    </xf>
    <xf numFmtId="0" fontId="0" fillId="29" borderId="10" xfId="0" applyFill="1" applyBorder="1" applyAlignment="1" applyProtection="1">
      <alignment horizontal="left"/>
      <protection hidden="1"/>
    </xf>
    <xf numFmtId="0" fontId="0" fillId="29" borderId="4" xfId="0" applyFill="1" applyBorder="1" applyAlignment="1" applyProtection="1">
      <alignment horizontal="left"/>
      <protection hidden="1"/>
    </xf>
    <xf numFmtId="0" fontId="0" fillId="29" borderId="9" xfId="0" applyFill="1" applyBorder="1" applyAlignment="1" applyProtection="1">
      <alignment horizontal="left"/>
      <protection hidden="1"/>
    </xf>
    <xf numFmtId="0" fontId="0" fillId="3" borderId="0" xfId="0" applyFill="1" applyAlignment="1" applyProtection="1">
      <alignment horizontal="left" vertical="top" wrapText="1"/>
      <protection hidden="1"/>
    </xf>
    <xf numFmtId="0" fontId="11" fillId="2" borderId="13" xfId="0" applyFont="1" applyFill="1" applyBorder="1" applyAlignment="1" applyProtection="1">
      <alignment horizontal="center" vertical="top" wrapText="1"/>
      <protection hidden="1"/>
    </xf>
    <xf numFmtId="0" fontId="11" fillId="2" borderId="2" xfId="0" applyFont="1" applyFill="1" applyBorder="1" applyAlignment="1" applyProtection="1">
      <alignment horizontal="center" vertical="top" wrapText="1"/>
      <protection hidden="1"/>
    </xf>
    <xf numFmtId="0" fontId="11" fillId="2" borderId="14" xfId="0" applyFont="1" applyFill="1" applyBorder="1" applyAlignment="1" applyProtection="1">
      <alignment horizontal="center" vertical="top" wrapText="1"/>
      <protection hidden="1"/>
    </xf>
    <xf numFmtId="0" fontId="11" fillId="2" borderId="8" xfId="0" applyFont="1" applyFill="1" applyBorder="1" applyAlignment="1" applyProtection="1">
      <alignment horizontal="center" vertical="top" wrapText="1"/>
      <protection hidden="1"/>
    </xf>
    <xf numFmtId="0" fontId="11" fillId="2" borderId="0" xfId="0" applyFont="1" applyFill="1" applyAlignment="1" applyProtection="1">
      <alignment horizontal="center" vertical="top" wrapText="1"/>
      <protection hidden="1"/>
    </xf>
    <xf numFmtId="0" fontId="11" fillId="2" borderId="12" xfId="0" applyFont="1" applyFill="1" applyBorder="1" applyAlignment="1" applyProtection="1">
      <alignment horizontal="center" vertical="top" wrapText="1"/>
      <protection hidden="1"/>
    </xf>
    <xf numFmtId="0" fontId="11" fillId="2" borderId="15" xfId="0" applyFont="1" applyFill="1" applyBorder="1" applyAlignment="1" applyProtection="1">
      <alignment horizontal="center" vertical="top" wrapText="1"/>
      <protection hidden="1"/>
    </xf>
    <xf numFmtId="0" fontId="11" fillId="2" borderId="3" xfId="0" applyFont="1" applyFill="1" applyBorder="1" applyAlignment="1" applyProtection="1">
      <alignment horizontal="center" vertical="top" wrapText="1"/>
      <protection hidden="1"/>
    </xf>
    <xf numFmtId="0" fontId="11" fillId="2" borderId="11" xfId="0" applyFont="1" applyFill="1" applyBorder="1" applyAlignment="1" applyProtection="1">
      <alignment horizontal="center" vertical="top" wrapText="1"/>
      <protection hidden="1"/>
    </xf>
    <xf numFmtId="0" fontId="5" fillId="3" borderId="3" xfId="0" applyFont="1" applyFill="1" applyBorder="1" applyAlignment="1" applyProtection="1">
      <alignment horizontal="right" indent="1"/>
      <protection hidden="1"/>
    </xf>
    <xf numFmtId="0" fontId="2" fillId="3" borderId="3" xfId="0" applyFont="1" applyFill="1" applyBorder="1" applyAlignment="1" applyProtection="1">
      <alignment horizontal="left"/>
      <protection locked="0"/>
    </xf>
    <xf numFmtId="0" fontId="17" fillId="3" borderId="3" xfId="1" applyFill="1" applyBorder="1" applyAlignment="1" applyProtection="1">
      <alignment horizontal="left"/>
      <protection locked="0"/>
    </xf>
    <xf numFmtId="0" fontId="0" fillId="3" borderId="3" xfId="0" applyFill="1" applyBorder="1" applyAlignment="1" applyProtection="1">
      <alignment horizontal="left"/>
      <protection locked="0"/>
    </xf>
    <xf numFmtId="0" fontId="6" fillId="2" borderId="3" xfId="0" applyFont="1" applyFill="1" applyBorder="1" applyAlignment="1" applyProtection="1">
      <alignment horizontal="center"/>
      <protection hidden="1"/>
    </xf>
    <xf numFmtId="0" fontId="6" fillId="0" borderId="3" xfId="0" applyFont="1" applyBorder="1" applyAlignment="1" applyProtection="1">
      <alignment horizontal="center"/>
      <protection hidden="1"/>
    </xf>
    <xf numFmtId="0" fontId="7" fillId="19" borderId="3" xfId="0" applyFont="1" applyFill="1" applyBorder="1" applyAlignment="1" applyProtection="1">
      <alignment horizontal="center" textRotation="90"/>
      <protection hidden="1"/>
    </xf>
    <xf numFmtId="0" fontId="24" fillId="7" borderId="0" xfId="0" applyFont="1" applyFill="1" applyAlignment="1" applyProtection="1">
      <alignment horizontal="center"/>
      <protection hidden="1"/>
    </xf>
    <xf numFmtId="0" fontId="4" fillId="32" borderId="0" xfId="0" applyFont="1" applyFill="1" applyAlignment="1" applyProtection="1">
      <alignment horizontal="center" vertical="center"/>
      <protection hidden="1"/>
    </xf>
    <xf numFmtId="0" fontId="53" fillId="19" borderId="3" xfId="0" applyFont="1" applyFill="1" applyBorder="1" applyAlignment="1" applyProtection="1">
      <alignment horizontal="center" textRotation="90"/>
      <protection hidden="1"/>
    </xf>
    <xf numFmtId="0" fontId="42" fillId="19" borderId="0" xfId="0" applyFont="1" applyFill="1" applyAlignment="1" applyProtection="1">
      <alignment horizontal="center" textRotation="90"/>
      <protection hidden="1"/>
    </xf>
    <xf numFmtId="0" fontId="4" fillId="10" borderId="0" xfId="0" applyFont="1" applyFill="1" applyAlignment="1" applyProtection="1">
      <alignment horizontal="center"/>
      <protection hidden="1"/>
    </xf>
    <xf numFmtId="0" fontId="5" fillId="3" borderId="10" xfId="0" applyFont="1" applyFill="1" applyBorder="1" applyAlignment="1" applyProtection="1">
      <alignment horizontal="left"/>
      <protection locked="0" hidden="1"/>
    </xf>
    <xf numFmtId="0" fontId="5" fillId="3" borderId="4" xfId="0" applyFont="1" applyFill="1" applyBorder="1" applyAlignment="1" applyProtection="1">
      <alignment horizontal="left"/>
      <protection locked="0" hidden="1"/>
    </xf>
    <xf numFmtId="0" fontId="2" fillId="2" borderId="0" xfId="0" applyFont="1" applyFill="1" applyAlignment="1" applyProtection="1">
      <alignment horizontal="left" vertical="top" wrapText="1" indent="1"/>
      <protection hidden="1"/>
    </xf>
    <xf numFmtId="0" fontId="28" fillId="2" borderId="0" xfId="0" applyFont="1" applyFill="1" applyAlignment="1" applyProtection="1">
      <alignment horizontal="left" vertical="top" indent="2"/>
      <protection hidden="1"/>
    </xf>
    <xf numFmtId="0" fontId="20" fillId="33" borderId="25" xfId="0" applyFont="1" applyFill="1" applyBorder="1" applyAlignment="1" applyProtection="1">
      <alignment horizontal="center" vertical="center" textRotation="90"/>
      <protection hidden="1"/>
    </xf>
    <xf numFmtId="0" fontId="20" fillId="33" borderId="24" xfId="0" applyFont="1" applyFill="1" applyBorder="1" applyAlignment="1" applyProtection="1">
      <alignment horizontal="center" vertical="center" textRotation="90"/>
      <protection hidden="1"/>
    </xf>
    <xf numFmtId="0" fontId="20" fillId="33" borderId="26" xfId="0" applyFont="1" applyFill="1" applyBorder="1" applyAlignment="1" applyProtection="1">
      <alignment horizontal="center" vertical="center" textRotation="90"/>
      <protection hidden="1"/>
    </xf>
    <xf numFmtId="0" fontId="108" fillId="2" borderId="0" xfId="0" applyFont="1" applyFill="1" applyAlignment="1" applyProtection="1">
      <alignment horizontal="left" indent="2"/>
      <protection hidden="1"/>
    </xf>
    <xf numFmtId="0" fontId="108" fillId="2" borderId="3" xfId="0" applyFont="1" applyFill="1" applyBorder="1" applyAlignment="1" applyProtection="1">
      <alignment horizontal="left" indent="2"/>
      <protection hidden="1"/>
    </xf>
    <xf numFmtId="0" fontId="97" fillId="33" borderId="27" xfId="0" applyFont="1" applyFill="1" applyBorder="1" applyAlignment="1" applyProtection="1">
      <alignment horizontal="left" vertical="center" textRotation="90"/>
      <protection hidden="1"/>
    </xf>
    <xf numFmtId="0" fontId="97" fillId="33" borderId="30" xfId="0" applyFont="1" applyFill="1" applyBorder="1" applyAlignment="1" applyProtection="1">
      <alignment horizontal="left" vertical="center" textRotation="90"/>
      <protection hidden="1"/>
    </xf>
    <xf numFmtId="0" fontId="97" fillId="33" borderId="33" xfId="0" applyFont="1" applyFill="1" applyBorder="1" applyAlignment="1" applyProtection="1">
      <alignment horizontal="left" vertical="center" textRotation="90"/>
      <protection hidden="1"/>
    </xf>
    <xf numFmtId="0" fontId="15" fillId="25" borderId="0" xfId="0" applyFont="1" applyFill="1" applyAlignment="1" applyProtection="1">
      <alignment horizontal="center" vertical="center" wrapText="1"/>
      <protection hidden="1"/>
    </xf>
    <xf numFmtId="0" fontId="15" fillId="38" borderId="0" xfId="0" applyFont="1" applyFill="1" applyAlignment="1" applyProtection="1">
      <alignment horizontal="center" vertical="center"/>
      <protection hidden="1"/>
    </xf>
    <xf numFmtId="0" fontId="15" fillId="28" borderId="0" xfId="0" applyFont="1" applyFill="1" applyAlignment="1" applyProtection="1">
      <alignment horizontal="center" vertical="center"/>
      <protection hidden="1"/>
    </xf>
    <xf numFmtId="0" fontId="1" fillId="25" borderId="0" xfId="0" applyFont="1" applyFill="1" applyAlignment="1" applyProtection="1">
      <alignment horizontal="center" textRotation="90" wrapText="1"/>
      <protection hidden="1"/>
    </xf>
    <xf numFmtId="0" fontId="1" fillId="28" borderId="0" xfId="0" applyFont="1" applyFill="1" applyAlignment="1" applyProtection="1">
      <alignment horizontal="center" textRotation="90"/>
      <protection hidden="1"/>
    </xf>
    <xf numFmtId="0" fontId="1" fillId="28" borderId="0" xfId="0" applyFont="1" applyFill="1" applyAlignment="1" applyProtection="1">
      <alignment horizontal="center"/>
      <protection hidden="1"/>
    </xf>
    <xf numFmtId="0" fontId="44" fillId="33" borderId="18" xfId="0" applyFont="1" applyFill="1" applyBorder="1" applyAlignment="1" applyProtection="1">
      <alignment horizontal="center" vertical="center" wrapText="1"/>
      <protection hidden="1"/>
    </xf>
    <xf numFmtId="0" fontId="44" fillId="33" borderId="16" xfId="0" applyFont="1" applyFill="1" applyBorder="1" applyAlignment="1" applyProtection="1">
      <alignment horizontal="center" vertical="center" wrapText="1"/>
      <protection hidden="1"/>
    </xf>
    <xf numFmtId="0" fontId="44" fillId="33" borderId="19" xfId="0" applyFont="1" applyFill="1" applyBorder="1" applyAlignment="1" applyProtection="1">
      <alignment horizontal="center" vertical="center" wrapText="1"/>
      <protection hidden="1"/>
    </xf>
    <xf numFmtId="0" fontId="44" fillId="33" borderId="20"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44" fillId="33" borderId="21" xfId="0" applyFont="1" applyFill="1" applyBorder="1" applyAlignment="1" applyProtection="1">
      <alignment horizontal="center" vertical="center" wrapText="1"/>
      <protection hidden="1"/>
    </xf>
    <xf numFmtId="0" fontId="44" fillId="33" borderId="22" xfId="0" applyFont="1" applyFill="1" applyBorder="1" applyAlignment="1" applyProtection="1">
      <alignment horizontal="center" vertical="center" wrapText="1"/>
      <protection hidden="1"/>
    </xf>
    <xf numFmtId="0" fontId="44" fillId="33" borderId="17" xfId="0" applyFont="1" applyFill="1" applyBorder="1" applyAlignment="1" applyProtection="1">
      <alignment horizontal="center" vertical="center" wrapText="1"/>
      <protection hidden="1"/>
    </xf>
    <xf numFmtId="0" fontId="44" fillId="33" borderId="23" xfId="0" applyFont="1" applyFill="1" applyBorder="1" applyAlignment="1" applyProtection="1">
      <alignment horizontal="center" vertical="center" wrapText="1"/>
      <protection hidden="1"/>
    </xf>
    <xf numFmtId="0" fontId="0" fillId="2" borderId="13" xfId="0" applyFill="1" applyBorder="1" applyAlignment="1" applyProtection="1">
      <alignment horizontal="center" vertical="center" wrapText="1"/>
      <protection hidden="1"/>
    </xf>
    <xf numFmtId="0" fontId="0" fillId="2" borderId="2" xfId="0" applyFill="1" applyBorder="1" applyAlignment="1" applyProtection="1">
      <alignment horizontal="center" vertical="center" wrapText="1"/>
      <protection hidden="1"/>
    </xf>
    <xf numFmtId="0" fontId="0" fillId="2" borderId="14" xfId="0" applyFill="1" applyBorder="1" applyAlignment="1" applyProtection="1">
      <alignment horizontal="center" vertical="center" wrapText="1"/>
      <protection hidden="1"/>
    </xf>
    <xf numFmtId="0" fontId="0" fillId="2" borderId="8" xfId="0" applyFill="1" applyBorder="1" applyAlignment="1" applyProtection="1">
      <alignment horizontal="center" vertical="center" wrapText="1"/>
      <protection hidden="1"/>
    </xf>
    <xf numFmtId="0" fontId="0" fillId="2" borderId="0" xfId="0" applyFill="1" applyAlignment="1" applyProtection="1">
      <alignment horizontal="center" vertical="center" wrapText="1"/>
      <protection hidden="1"/>
    </xf>
    <xf numFmtId="0" fontId="0" fillId="2" borderId="12" xfId="0" applyFill="1" applyBorder="1" applyAlignment="1" applyProtection="1">
      <alignment horizontal="center" vertical="center" wrapText="1"/>
      <protection hidden="1"/>
    </xf>
    <xf numFmtId="0" fontId="0" fillId="2" borderId="15"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11" xfId="0" applyFill="1" applyBorder="1" applyAlignment="1" applyProtection="1">
      <alignment horizontal="center" vertical="center" wrapText="1"/>
      <protection hidden="1"/>
    </xf>
    <xf numFmtId="0" fontId="1" fillId="27" borderId="8" xfId="0" applyFont="1" applyFill="1" applyBorder="1" applyAlignment="1" applyProtection="1">
      <alignment horizontal="center"/>
      <protection hidden="1"/>
    </xf>
    <xf numFmtId="0" fontId="1"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32" fillId="21" borderId="0" xfId="0" applyFont="1" applyFill="1" applyAlignment="1" applyProtection="1">
      <alignment horizontal="center" vertical="top" wrapText="1"/>
      <protection hidden="1"/>
    </xf>
    <xf numFmtId="0" fontId="7" fillId="20" borderId="0" xfId="0" applyFont="1" applyFill="1" applyAlignment="1" applyProtection="1">
      <alignment horizontal="center"/>
      <protection hidden="1"/>
    </xf>
    <xf numFmtId="0" fontId="51" fillId="20" borderId="0" xfId="0" applyFont="1" applyFill="1" applyAlignment="1" applyProtection="1">
      <alignment horizontal="center"/>
      <protection hidden="1"/>
    </xf>
    <xf numFmtId="20" fontId="5" fillId="3" borderId="4" xfId="0" applyNumberFormat="1" applyFont="1" applyFill="1" applyBorder="1" applyAlignment="1" applyProtection="1">
      <alignment horizontal="left"/>
      <protection hidden="1"/>
    </xf>
    <xf numFmtId="0" fontId="11" fillId="30" borderId="1" xfId="0" applyFont="1" applyFill="1" applyBorder="1" applyAlignment="1" applyProtection="1">
      <alignment horizontal="center" vertical="center"/>
      <protection hidden="1"/>
    </xf>
    <xf numFmtId="0" fontId="108" fillId="3" borderId="0" xfId="0" applyFont="1" applyFill="1" applyAlignment="1" applyProtection="1">
      <alignment horizontal="left"/>
      <protection locked="0"/>
    </xf>
    <xf numFmtId="0" fontId="3" fillId="7"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46" fillId="11" borderId="0" xfId="0" applyFont="1" applyFill="1" applyAlignment="1" applyProtection="1">
      <alignment horizontal="right" vertical="center"/>
      <protection hidden="1"/>
    </xf>
    <xf numFmtId="0" fontId="55" fillId="11" borderId="0" xfId="0" applyFont="1" applyFill="1" applyAlignment="1" applyProtection="1">
      <alignment horizontal="right" vertical="center"/>
      <protection hidden="1"/>
    </xf>
    <xf numFmtId="0" fontId="5" fillId="11" borderId="2" xfId="0" applyFont="1" applyFill="1" applyBorder="1" applyAlignment="1" applyProtection="1">
      <alignment horizontal="left" vertical="top" wrapText="1"/>
      <protection hidden="1"/>
    </xf>
    <xf numFmtId="0" fontId="5" fillId="11" borderId="14" xfId="0" applyFont="1" applyFill="1" applyBorder="1" applyAlignment="1" applyProtection="1">
      <alignment horizontal="left" vertical="top" wrapText="1"/>
      <protection hidden="1"/>
    </xf>
    <xf numFmtId="0" fontId="0" fillId="2" borderId="13" xfId="0" applyFill="1" applyBorder="1" applyAlignment="1" applyProtection="1">
      <alignment horizontal="left" vertical="top" wrapText="1"/>
      <protection hidden="1"/>
    </xf>
    <xf numFmtId="0" fontId="0" fillId="2" borderId="2" xfId="0" applyFill="1" applyBorder="1" applyAlignment="1" applyProtection="1">
      <alignment horizontal="left" vertical="top" wrapText="1"/>
      <protection hidden="1"/>
    </xf>
    <xf numFmtId="0" fontId="0" fillId="2" borderId="14" xfId="0" applyFill="1" applyBorder="1" applyAlignment="1" applyProtection="1">
      <alignment horizontal="left" vertical="top" wrapText="1"/>
      <protection hidden="1"/>
    </xf>
    <xf numFmtId="0" fontId="0" fillId="2" borderId="15" xfId="0" applyFill="1" applyBorder="1" applyAlignment="1" applyProtection="1">
      <alignment horizontal="left" vertical="top" wrapText="1"/>
      <protection hidden="1"/>
    </xf>
    <xf numFmtId="0" fontId="0" fillId="2" borderId="11" xfId="0" applyFill="1" applyBorder="1" applyAlignment="1" applyProtection="1">
      <alignment horizontal="left" vertical="top" wrapText="1"/>
      <protection hidden="1"/>
    </xf>
    <xf numFmtId="0" fontId="4" fillId="11" borderId="0" xfId="0" applyFont="1" applyFill="1" applyAlignment="1" applyProtection="1">
      <alignment horizontal="center" vertical="top"/>
      <protection hidden="1"/>
    </xf>
    <xf numFmtId="0" fontId="4" fillId="11" borderId="3" xfId="0" applyFont="1" applyFill="1" applyBorder="1" applyAlignment="1" applyProtection="1">
      <alignment horizontal="center" vertical="top"/>
      <protection hidden="1"/>
    </xf>
    <xf numFmtId="0" fontId="0" fillId="30" borderId="1" xfId="0" applyFill="1" applyBorder="1" applyAlignment="1" applyProtection="1">
      <alignment horizontal="center" vertical="center"/>
      <protection hidden="1"/>
    </xf>
    <xf numFmtId="0" fontId="35" fillId="2" borderId="4" xfId="0" applyFont="1" applyFill="1" applyBorder="1" applyAlignment="1" applyProtection="1">
      <alignment vertical="top"/>
      <protection hidden="1"/>
    </xf>
    <xf numFmtId="0" fontId="35" fillId="2" borderId="2" xfId="0" applyFont="1" applyFill="1" applyBorder="1" applyAlignment="1" applyProtection="1">
      <alignment vertical="top"/>
      <protection hidden="1"/>
    </xf>
    <xf numFmtId="0" fontId="6" fillId="2" borderId="3" xfId="0" applyFont="1" applyFill="1" applyBorder="1" applyAlignment="1" applyProtection="1">
      <alignment horizontal="left" indent="26"/>
      <protection hidden="1"/>
    </xf>
    <xf numFmtId="0" fontId="5" fillId="3" borderId="10" xfId="0" applyFont="1" applyFill="1" applyBorder="1" applyAlignment="1" applyProtection="1">
      <alignment horizontal="left"/>
      <protection locked="0"/>
    </xf>
    <xf numFmtId="0" fontId="5" fillId="3" borderId="4" xfId="0" applyFont="1" applyFill="1" applyBorder="1" applyAlignment="1" applyProtection="1">
      <alignment horizontal="left"/>
      <protection locked="0"/>
    </xf>
    <xf numFmtId="0" fontId="2" fillId="2" borderId="0" xfId="0" applyFont="1" applyFill="1" applyAlignment="1" applyProtection="1">
      <alignment horizontal="left" vertical="top" wrapText="1" indent="2"/>
      <protection hidden="1"/>
    </xf>
    <xf numFmtId="0" fontId="108" fillId="2" borderId="0" xfId="0" applyFont="1" applyFill="1" applyAlignment="1" applyProtection="1">
      <alignment horizontal="left"/>
      <protection hidden="1"/>
    </xf>
    <xf numFmtId="0" fontId="16" fillId="5" borderId="13" xfId="0" applyFont="1" applyFill="1" applyBorder="1" applyAlignment="1" applyProtection="1">
      <alignment horizontal="center"/>
      <protection hidden="1"/>
    </xf>
    <xf numFmtId="0" fontId="16" fillId="5" borderId="2" xfId="0" applyFont="1" applyFill="1" applyBorder="1" applyAlignment="1" applyProtection="1">
      <alignment horizontal="center"/>
      <protection hidden="1"/>
    </xf>
    <xf numFmtId="0" fontId="16" fillId="5" borderId="14" xfId="0" applyFont="1" applyFill="1" applyBorder="1" applyAlignment="1" applyProtection="1">
      <alignment horizontal="center"/>
      <protection hidden="1"/>
    </xf>
    <xf numFmtId="0" fontId="36" fillId="13" borderId="13" xfId="0" applyFont="1" applyFill="1" applyBorder="1" applyAlignment="1" applyProtection="1">
      <alignment horizontal="center" wrapText="1"/>
      <protection hidden="1"/>
    </xf>
    <xf numFmtId="0" fontId="36" fillId="13" borderId="2" xfId="0" applyFont="1" applyFill="1" applyBorder="1" applyAlignment="1" applyProtection="1">
      <alignment horizontal="center" wrapText="1"/>
      <protection hidden="1"/>
    </xf>
    <xf numFmtId="0" fontId="36" fillId="13" borderId="14" xfId="0" applyFont="1" applyFill="1" applyBorder="1" applyAlignment="1" applyProtection="1">
      <alignment horizontal="center" wrapText="1"/>
      <protection hidden="1"/>
    </xf>
    <xf numFmtId="0" fontId="36" fillId="13" borderId="15" xfId="0" applyFont="1" applyFill="1" applyBorder="1" applyAlignment="1" applyProtection="1">
      <alignment horizontal="center" wrapText="1"/>
      <protection hidden="1"/>
    </xf>
    <xf numFmtId="0" fontId="36" fillId="13" borderId="3" xfId="0" applyFont="1" applyFill="1" applyBorder="1" applyAlignment="1" applyProtection="1">
      <alignment horizontal="center" wrapText="1"/>
      <protection hidden="1"/>
    </xf>
    <xf numFmtId="0" fontId="36" fillId="13" borderId="11" xfId="0" applyFont="1" applyFill="1" applyBorder="1" applyAlignment="1" applyProtection="1">
      <alignment horizontal="center" wrapText="1"/>
      <protection hidden="1"/>
    </xf>
    <xf numFmtId="0" fontId="32" fillId="18" borderId="0" xfId="0" applyFont="1" applyFill="1" applyAlignment="1" applyProtection="1">
      <alignment horizontal="center" vertical="center"/>
      <protection hidden="1"/>
    </xf>
    <xf numFmtId="0" fontId="4" fillId="7" borderId="0" xfId="0" applyFont="1" applyFill="1" applyAlignment="1" applyProtection="1">
      <alignment horizontal="center" vertical="center"/>
      <protection hidden="1"/>
    </xf>
    <xf numFmtId="0" fontId="32" fillId="24" borderId="0" xfId="0" applyFont="1" applyFill="1" applyAlignment="1" applyProtection="1">
      <alignment horizontal="center" vertical="center"/>
      <protection hidden="1"/>
    </xf>
    <xf numFmtId="0" fontId="120" fillId="7" borderId="0" xfId="0" applyFont="1" applyFill="1" applyAlignment="1" applyProtection="1">
      <alignment horizontal="center"/>
      <protection hidden="1"/>
    </xf>
    <xf numFmtId="0" fontId="15" fillId="11" borderId="0" xfId="0" applyFont="1" applyFill="1" applyAlignment="1" applyProtection="1">
      <alignment horizontal="center" vertical="center"/>
      <protection hidden="1"/>
    </xf>
    <xf numFmtId="0" fontId="16" fillId="18" borderId="0" xfId="0" applyFont="1" applyFill="1" applyAlignment="1" applyProtection="1">
      <alignment horizontal="center" vertical="center" wrapText="1"/>
      <protection hidden="1"/>
    </xf>
    <xf numFmtId="0" fontId="1" fillId="18" borderId="0" xfId="0" applyFont="1" applyFill="1" applyAlignment="1" applyProtection="1">
      <alignment horizontal="center" vertical="center" wrapText="1"/>
      <protection hidden="1"/>
    </xf>
    <xf numFmtId="0" fontId="6" fillId="2" borderId="0" xfId="0" applyFont="1" applyFill="1" applyAlignment="1" applyProtection="1">
      <alignment horizontal="center"/>
      <protection hidden="1"/>
    </xf>
    <xf numFmtId="0" fontId="6" fillId="0" borderId="0" xfId="0" applyFont="1" applyAlignment="1" applyProtection="1">
      <alignment horizontal="center"/>
      <protection hidden="1"/>
    </xf>
    <xf numFmtId="0" fontId="74" fillId="7" borderId="0" xfId="0" applyFont="1" applyFill="1" applyAlignment="1" applyProtection="1">
      <alignment horizontal="center"/>
      <protection hidden="1"/>
    </xf>
    <xf numFmtId="0" fontId="35" fillId="2" borderId="0" xfId="0" applyFont="1" applyFill="1" applyAlignment="1" applyProtection="1">
      <alignment vertical="top"/>
      <protection hidden="1"/>
    </xf>
    <xf numFmtId="0" fontId="11" fillId="20" borderId="0" xfId="0" applyFont="1" applyFill="1" applyAlignment="1" applyProtection="1">
      <alignment horizontal="left"/>
      <protection hidden="1"/>
    </xf>
    <xf numFmtId="0" fontId="11" fillId="10" borderId="0" xfId="0" applyFont="1" applyFill="1" applyAlignment="1" applyProtection="1">
      <alignment horizontal="left"/>
      <protection hidden="1"/>
    </xf>
    <xf numFmtId="0" fontId="15" fillId="38" borderId="0" xfId="0" applyFont="1" applyFill="1" applyAlignment="1" applyProtection="1">
      <alignment horizontal="center" vertical="center" wrapText="1"/>
      <protection hidden="1"/>
    </xf>
    <xf numFmtId="0" fontId="51" fillId="20" borderId="0" xfId="0" applyFont="1" applyFill="1" applyAlignment="1" applyProtection="1">
      <alignment horizontal="center" vertical="center" textRotation="90" wrapText="1"/>
      <protection hidden="1"/>
    </xf>
    <xf numFmtId="0" fontId="5" fillId="45" borderId="0" xfId="0" applyFont="1" applyFill="1" applyAlignment="1" applyProtection="1">
      <alignment horizontal="left"/>
      <protection hidden="1"/>
    </xf>
    <xf numFmtId="0" fontId="2" fillId="2" borderId="0" xfId="0" applyFont="1" applyFill="1" applyAlignment="1" applyProtection="1">
      <alignment horizontal="left" wrapText="1"/>
      <protection hidden="1"/>
    </xf>
    <xf numFmtId="0" fontId="119" fillId="0" borderId="0" xfId="0" applyFont="1" applyAlignment="1" applyProtection="1">
      <alignment horizontal="right"/>
      <protection hidden="1"/>
    </xf>
    <xf numFmtId="0" fontId="1" fillId="10" borderId="0" xfId="0" applyFont="1" applyFill="1" applyAlignment="1" applyProtection="1">
      <alignment horizontal="left"/>
      <protection hidden="1"/>
    </xf>
    <xf numFmtId="0" fontId="1" fillId="20" borderId="0" xfId="0" applyFont="1" applyFill="1" applyAlignment="1" applyProtection="1">
      <alignment horizontal="left"/>
      <protection hidden="1"/>
    </xf>
    <xf numFmtId="0" fontId="27" fillId="13" borderId="0" xfId="0" applyFont="1" applyFill="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61" fillId="20" borderId="2" xfId="0" applyFont="1" applyFill="1" applyBorder="1" applyAlignment="1" applyProtection="1">
      <alignment horizontal="left" vertical="center" wrapText="1"/>
      <protection hidden="1"/>
    </xf>
    <xf numFmtId="0" fontId="61" fillId="20" borderId="0" xfId="0" applyFont="1" applyFill="1" applyAlignment="1" applyProtection="1">
      <alignment horizontal="left" vertical="center" wrapText="1"/>
      <protection hidden="1"/>
    </xf>
    <xf numFmtId="0" fontId="50" fillId="2" borderId="3" xfId="0" applyFont="1" applyFill="1" applyBorder="1" applyAlignment="1" applyProtection="1">
      <alignment horizontal="center"/>
      <protection hidden="1"/>
    </xf>
    <xf numFmtId="0" fontId="34" fillId="23" borderId="0" xfId="0" applyFont="1" applyFill="1" applyAlignment="1" applyProtection="1">
      <alignment horizontal="center"/>
      <protection hidden="1"/>
    </xf>
    <xf numFmtId="0" fontId="11" fillId="23" borderId="0" xfId="0" applyFont="1" applyFill="1" applyAlignment="1" applyProtection="1">
      <alignment horizontal="center"/>
      <protection hidden="1"/>
    </xf>
    <xf numFmtId="0" fontId="1" fillId="2" borderId="0" xfId="0" applyFont="1" applyFill="1" applyAlignment="1" applyProtection="1">
      <alignment horizontal="left" vertical="top" wrapText="1"/>
      <protection hidden="1"/>
    </xf>
    <xf numFmtId="0" fontId="2" fillId="2" borderId="0" xfId="0" applyFont="1" applyFill="1" applyAlignment="1" applyProtection="1">
      <alignment horizontal="left" vertical="top" wrapText="1"/>
      <protection hidden="1"/>
    </xf>
    <xf numFmtId="0" fontId="16" fillId="2" borderId="0" xfId="0" applyFont="1" applyFill="1" applyAlignment="1" applyProtection="1">
      <alignment horizontal="right" vertical="top" wrapText="1"/>
      <protection hidden="1"/>
    </xf>
    <xf numFmtId="0" fontId="14" fillId="4" borderId="0" xfId="0" applyFont="1" applyFill="1" applyAlignment="1" applyProtection="1">
      <alignment horizontal="right" vertical="top" wrapText="1"/>
      <protection hidden="1"/>
    </xf>
    <xf numFmtId="0" fontId="1" fillId="5" borderId="0" xfId="0" applyFont="1" applyFill="1" applyAlignment="1" applyProtection="1">
      <alignment horizontal="center"/>
      <protection hidden="1"/>
    </xf>
    <xf numFmtId="0" fontId="0" fillId="13" borderId="0" xfId="0" applyFill="1" applyAlignment="1" applyProtection="1">
      <alignment horizontal="center"/>
      <protection hidden="1"/>
    </xf>
    <xf numFmtId="0" fontId="0" fillId="2" borderId="0" xfId="0" applyFill="1" applyAlignment="1" applyProtection="1">
      <alignment horizontal="left" indent="2"/>
      <protection hidden="1"/>
    </xf>
    <xf numFmtId="0" fontId="0" fillId="2" borderId="12" xfId="0" applyFill="1" applyBorder="1" applyAlignment="1" applyProtection="1">
      <alignment horizontal="left" indent="2"/>
      <protection hidden="1"/>
    </xf>
    <xf numFmtId="0" fontId="10" fillId="13" borderId="0" xfId="0" applyFont="1" applyFill="1" applyAlignment="1" applyProtection="1">
      <alignment horizontal="left" vertical="top" wrapText="1"/>
      <protection hidden="1"/>
    </xf>
    <xf numFmtId="0" fontId="5" fillId="16" borderId="0" xfId="0" applyFont="1" applyFill="1" applyAlignment="1" applyProtection="1">
      <alignment horizontal="left"/>
      <protection hidden="1"/>
    </xf>
    <xf numFmtId="0" fontId="1" fillId="55" borderId="4" xfId="0" applyFont="1" applyFill="1" applyBorder="1" applyAlignment="1" applyProtection="1">
      <alignment horizontal="left"/>
      <protection hidden="1"/>
    </xf>
    <xf numFmtId="0" fontId="51" fillId="10" borderId="10" xfId="0" applyFont="1" applyFill="1" applyBorder="1" applyAlignment="1" applyProtection="1">
      <alignment horizontal="center"/>
      <protection hidden="1"/>
    </xf>
    <xf numFmtId="0" fontId="51" fillId="10" borderId="4" xfId="0" applyFont="1" applyFill="1" applyBorder="1" applyAlignment="1" applyProtection="1">
      <alignment horizontal="center"/>
      <protection hidden="1"/>
    </xf>
    <xf numFmtId="0" fontId="51" fillId="10" borderId="9" xfId="0" applyFont="1" applyFill="1" applyBorder="1" applyAlignment="1" applyProtection="1">
      <alignment horizontal="center"/>
      <protection hidden="1"/>
    </xf>
    <xf numFmtId="166" fontId="5" fillId="13" borderId="0" xfId="0" applyNumberFormat="1" applyFont="1" applyFill="1" applyAlignment="1" applyProtection="1">
      <alignment horizontal="center"/>
      <protection hidden="1"/>
    </xf>
    <xf numFmtId="166" fontId="6" fillId="13" borderId="0" xfId="0" applyNumberFormat="1" applyFont="1" applyFill="1" applyAlignment="1" applyProtection="1">
      <alignment horizontal="center"/>
      <protection hidden="1"/>
    </xf>
    <xf numFmtId="0" fontId="5" fillId="13" borderId="0" xfId="0" applyFont="1" applyFill="1" applyAlignment="1" applyProtection="1">
      <alignment horizontal="center"/>
      <protection hidden="1"/>
    </xf>
    <xf numFmtId="0" fontId="2" fillId="55" borderId="4" xfId="0" applyFont="1" applyFill="1" applyBorder="1" applyAlignment="1" applyProtection="1">
      <alignment horizontal="left"/>
      <protection hidden="1"/>
    </xf>
    <xf numFmtId="166" fontId="103" fillId="13" borderId="0" xfId="0" applyNumberFormat="1" applyFont="1" applyFill="1" applyAlignment="1" applyProtection="1">
      <alignment horizontal="center"/>
      <protection hidden="1"/>
    </xf>
    <xf numFmtId="0" fontId="7" fillId="38" borderId="0" xfId="0" applyFont="1" applyFill="1" applyAlignment="1" applyProtection="1">
      <alignment horizontal="center" vertical="center"/>
      <protection hidden="1"/>
    </xf>
    <xf numFmtId="0" fontId="7" fillId="2" borderId="1" xfId="0" applyFont="1" applyFill="1" applyBorder="1" applyAlignment="1" applyProtection="1">
      <alignment horizontal="center" vertical="center"/>
      <protection hidden="1"/>
    </xf>
    <xf numFmtId="0" fontId="51" fillId="2" borderId="1" xfId="0" applyFont="1" applyFill="1" applyBorder="1" applyAlignment="1" applyProtection="1">
      <alignment horizontal="center" vertical="center"/>
      <protection hidden="1"/>
    </xf>
    <xf numFmtId="0" fontId="4" fillId="18" borderId="0" xfId="0" applyFont="1" applyFill="1" applyAlignment="1" applyProtection="1">
      <alignment horizontal="center"/>
      <protection hidden="1"/>
    </xf>
    <xf numFmtId="0" fontId="5" fillId="16" borderId="10" xfId="0" applyFont="1" applyFill="1" applyBorder="1" applyAlignment="1" applyProtection="1">
      <alignment horizontal="left"/>
      <protection hidden="1"/>
    </xf>
    <xf numFmtId="0" fontId="5" fillId="16" borderId="4" xfId="0" applyFont="1" applyFill="1" applyBorder="1" applyAlignment="1" applyProtection="1">
      <alignment horizontal="left"/>
      <protection hidden="1"/>
    </xf>
    <xf numFmtId="0" fontId="5" fillId="16" borderId="9" xfId="0" applyFont="1" applyFill="1" applyBorder="1" applyAlignment="1" applyProtection="1">
      <alignment horizontal="left"/>
      <protection hidden="1"/>
    </xf>
    <xf numFmtId="0" fontId="0" fillId="25" borderId="0" xfId="0" applyFill="1" applyAlignment="1" applyProtection="1">
      <alignment horizontal="left" vertical="top" wrapText="1"/>
      <protection hidden="1"/>
    </xf>
    <xf numFmtId="0" fontId="66" fillId="20" borderId="0" xfId="0" applyFont="1" applyFill="1" applyAlignment="1" applyProtection="1">
      <alignment horizontal="center" vertical="center" textRotation="90"/>
      <protection hidden="1"/>
    </xf>
    <xf numFmtId="0" fontId="13" fillId="18" borderId="0" xfId="0" applyFont="1" applyFill="1" applyAlignment="1" applyProtection="1">
      <alignment horizontal="center" vertical="center" wrapText="1"/>
      <protection hidden="1"/>
    </xf>
    <xf numFmtId="0" fontId="104" fillId="10" borderId="0" xfId="0" applyFont="1" applyFill="1" applyAlignment="1" applyProtection="1">
      <alignment horizontal="right" vertical="center" textRotation="90" wrapText="1"/>
      <protection hidden="1"/>
    </xf>
    <xf numFmtId="0" fontId="10" fillId="13" borderId="0" xfId="0" applyFont="1" applyFill="1" applyAlignment="1" applyProtection="1">
      <alignment horizontal="center"/>
      <protection hidden="1"/>
    </xf>
    <xf numFmtId="0" fontId="5" fillId="16" borderId="1" xfId="0" applyFont="1" applyFill="1" applyBorder="1" applyAlignment="1" applyProtection="1">
      <alignment horizontal="center"/>
      <protection hidden="1"/>
    </xf>
    <xf numFmtId="0" fontId="4" fillId="17" borderId="0" xfId="0" applyFont="1" applyFill="1" applyAlignment="1" applyProtection="1">
      <alignment horizontal="center"/>
      <protection hidden="1"/>
    </xf>
    <xf numFmtId="0" fontId="1" fillId="18" borderId="0" xfId="0" applyFont="1" applyFill="1" applyAlignment="1" applyProtection="1">
      <alignment horizontal="center"/>
      <protection hidden="1"/>
    </xf>
    <xf numFmtId="0" fontId="1" fillId="18" borderId="12" xfId="0" applyFont="1" applyFill="1" applyBorder="1" applyAlignment="1" applyProtection="1">
      <alignment horizontal="center"/>
      <protection hidden="1"/>
    </xf>
    <xf numFmtId="166" fontId="76" fillId="13" borderId="0" xfId="0" applyNumberFormat="1" applyFont="1" applyFill="1" applyAlignment="1" applyProtection="1">
      <alignment horizontal="center"/>
      <protection hidden="1"/>
    </xf>
  </cellXfs>
  <cellStyles count="8">
    <cellStyle name="Followed Hyperlink" xfId="3" builtinId="9" customBuiltin="1"/>
    <cellStyle name="Gevolgde hyperlink 2" xfId="5" xr:uid="{7241B36D-BA07-4F32-83DF-5C1FF61E1F0F}"/>
    <cellStyle name="Hyperlink" xfId="1" builtinId="8" customBuiltin="1"/>
    <cellStyle name="Hyperlink 2" xfId="6" xr:uid="{F9022693-B364-423D-951B-939643529A48}"/>
    <cellStyle name="Hyperlink 3" xfId="7" xr:uid="{364031BA-BA8B-4CD4-A4E5-CCC32609B257}"/>
    <cellStyle name="Hyperlink 4" xfId="4" xr:uid="{0079EE1D-A08E-4536-83C6-364EAF2A05BD}"/>
    <cellStyle name="Linked Cell" xfId="2" builtinId="24" customBuiltin="1"/>
    <cellStyle name="Normal" xfId="0" builtinId="0"/>
  </cellStyles>
  <dxfs count="85">
    <dxf>
      <font>
        <b/>
        <i/>
        <color rgb="FFFF0000"/>
      </font>
    </dxf>
    <dxf>
      <font>
        <b val="0"/>
        <i/>
        <strike val="0"/>
        <u/>
      </font>
    </dxf>
    <dxf>
      <font>
        <color theme="0"/>
      </font>
    </dxf>
    <dxf>
      <font>
        <b/>
        <i/>
        <u/>
        <color rgb="FFFF0000"/>
      </font>
    </dxf>
    <dxf>
      <font>
        <color theme="1"/>
      </font>
    </dxf>
    <dxf>
      <font>
        <color theme="0"/>
      </font>
    </dxf>
    <dxf>
      <font>
        <strike val="0"/>
        <color auto="1"/>
      </font>
      <fill>
        <patternFill>
          <bgColor theme="6" tint="0.39994506668294322"/>
        </patternFill>
      </fill>
    </dxf>
    <dxf>
      <font>
        <b/>
        <i/>
        <strike val="0"/>
        <color rgb="FFFF0000"/>
      </font>
    </dxf>
    <dxf>
      <font>
        <color theme="1"/>
      </font>
    </dxf>
    <dxf>
      <font>
        <color theme="0"/>
      </font>
    </dxf>
    <dxf>
      <border>
        <top style="thin">
          <color auto="1"/>
        </top>
        <vertical/>
        <horizontal/>
      </border>
    </dxf>
    <dxf>
      <border>
        <bottom style="thin">
          <color auto="1"/>
        </bottom>
        <vertical/>
        <horizontal/>
      </border>
    </dxf>
    <dxf>
      <font>
        <color theme="0" tint="-0.34998626667073579"/>
      </font>
      <fill>
        <patternFill>
          <bgColor theme="0" tint="-0.34998626667073579"/>
        </patternFill>
      </fill>
      <border>
        <left/>
        <right/>
        <top/>
        <bottom/>
        <vertical/>
        <horizontal/>
      </border>
    </dxf>
    <dxf>
      <font>
        <color theme="0"/>
      </font>
      <fill>
        <patternFill>
          <bgColor theme="0" tint="-0.34998626667073579"/>
        </patternFill>
      </fill>
      <border>
        <left/>
        <right/>
        <top/>
        <bottom/>
        <vertical/>
        <horizontal/>
      </border>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ont>
        <b/>
        <i val="0"/>
        <color rgb="FFFF0000"/>
      </font>
      <fill>
        <patternFill patternType="none">
          <bgColor auto="1"/>
        </patternFill>
      </fill>
    </dxf>
    <dxf>
      <font>
        <color theme="1"/>
      </font>
    </dxf>
    <dxf>
      <font>
        <color theme="0"/>
      </font>
    </dxf>
    <dxf>
      <font>
        <color theme="0" tint="-0.34998626667073579"/>
      </font>
      <fill>
        <patternFill>
          <bgColor theme="0" tint="-0.34998626667073579"/>
        </patternFill>
      </fill>
      <border>
        <right/>
        <top/>
        <bottom/>
        <vertical/>
        <horizontal/>
      </border>
    </dxf>
    <dxf>
      <font>
        <color theme="0" tint="-0.34998626667073579"/>
      </font>
      <fill>
        <patternFill>
          <bgColor theme="0" tint="-0.34998626667073579"/>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border>
        <left/>
        <right/>
        <top/>
        <bottom/>
        <vertical/>
        <horizontal/>
      </border>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ont>
        <b/>
        <i/>
        <color rgb="FFFF0000"/>
      </font>
    </dxf>
    <dxf>
      <font>
        <b/>
        <i val="0"/>
        <color theme="1"/>
      </font>
    </dxf>
    <dxf>
      <font>
        <color theme="1"/>
      </font>
    </dxf>
    <dxf>
      <font>
        <color theme="0"/>
      </font>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8" tint="0.59996337778862885"/>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ont>
        <b/>
        <i val="0"/>
        <color theme="1"/>
      </font>
    </dxf>
    <dxf>
      <font>
        <color theme="1"/>
      </font>
    </dxf>
    <dxf>
      <font>
        <color theme="0"/>
      </font>
    </dxf>
    <dxf>
      <font>
        <color auto="1"/>
      </font>
    </dxf>
    <dxf>
      <font>
        <color theme="0"/>
      </font>
    </dxf>
    <dxf>
      <font>
        <b/>
        <i val="0"/>
        <color theme="0"/>
      </font>
      <fill>
        <patternFill>
          <bgColor theme="0" tint="-0.34998626667073579"/>
        </patternFill>
      </fill>
      <border>
        <left/>
        <right/>
        <top/>
        <bottom/>
        <vertical/>
        <horizontal/>
      </border>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b val="0"/>
        <i/>
        <color auto="1"/>
      </font>
    </dxf>
    <dxf>
      <font>
        <b/>
        <i val="0"/>
      </font>
    </dxf>
    <dxf>
      <font>
        <color theme="0"/>
      </font>
    </dxf>
    <dxf>
      <font>
        <color auto="1"/>
      </font>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color theme="1"/>
      </font>
    </dxf>
    <dxf>
      <font>
        <color theme="0"/>
      </font>
    </dxf>
  </dxfs>
  <tableStyles count="0" defaultTableStyle="TableStyleMedium9" defaultPivotStyle="PivotStyleLight16"/>
  <colors>
    <mruColors>
      <color rgb="FF0050A0"/>
      <color rgb="FF96C8FA"/>
      <color rgb="FF64B4FA"/>
      <color rgb="FF50A0F0"/>
      <color rgb="FFB4D296"/>
      <color rgb="FF9B0A37"/>
      <color rgb="FFD21546"/>
      <color rgb="FFFFFF99"/>
      <color rgb="FFFAAFC8"/>
      <color rgb="FF960F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png"/><Relationship Id="rId39" Type="http://schemas.openxmlformats.org/officeDocument/2006/relationships/image" Target="../media/image35.jpg"/><Relationship Id="rId3" Type="http://schemas.openxmlformats.org/officeDocument/2006/relationships/image" Target="../media/image2.png"/><Relationship Id="rId21" Type="http://schemas.openxmlformats.org/officeDocument/2006/relationships/image" Target="../media/image20.png"/><Relationship Id="rId34" Type="http://schemas.openxmlformats.org/officeDocument/2006/relationships/image" Target="../media/image32.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image" Target="../media/image24.png"/><Relationship Id="rId33" Type="http://schemas.microsoft.com/office/2007/relationships/hdphoto" Target="../media/hdphoto2.wdp"/><Relationship Id="rId38" Type="http://schemas.openxmlformats.org/officeDocument/2006/relationships/image" Target="../media/image34.png"/><Relationship Id="rId2" Type="http://schemas.microsoft.com/office/2007/relationships/hdphoto" Target="../media/hdphoto1.wdp"/><Relationship Id="rId16" Type="http://schemas.openxmlformats.org/officeDocument/2006/relationships/image" Target="../media/image15.png"/><Relationship Id="rId20" Type="http://schemas.openxmlformats.org/officeDocument/2006/relationships/image" Target="../media/image19.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32" Type="http://schemas.openxmlformats.org/officeDocument/2006/relationships/image" Target="../media/image31.png"/><Relationship Id="rId37" Type="http://schemas.microsoft.com/office/2007/relationships/hdphoto" Target="../media/hdphoto4.wdp"/><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3.png"/><Relationship Id="rId10" Type="http://schemas.openxmlformats.org/officeDocument/2006/relationships/image" Target="../media/image9.png"/><Relationship Id="rId19" Type="http://schemas.openxmlformats.org/officeDocument/2006/relationships/image" Target="../media/image18.png"/><Relationship Id="rId31" Type="http://schemas.openxmlformats.org/officeDocument/2006/relationships/image" Target="../media/image30.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microsoft.com/office/2007/relationships/hdphoto" Target="../media/hdphoto3.wdp"/></Relationships>
</file>

<file path=xl/drawings/drawing1.xml><?xml version="1.0" encoding="utf-8"?>
<xdr:wsDr xmlns:xdr="http://schemas.openxmlformats.org/drawingml/2006/spreadsheetDrawing" xmlns:a="http://schemas.openxmlformats.org/drawingml/2006/main">
  <xdr:twoCellAnchor>
    <xdr:from>
      <xdr:col>2</xdr:col>
      <xdr:colOff>3829</xdr:colOff>
      <xdr:row>10</xdr:row>
      <xdr:rowOff>176177</xdr:rowOff>
    </xdr:from>
    <xdr:to>
      <xdr:col>18</xdr:col>
      <xdr:colOff>172848</xdr:colOff>
      <xdr:row>59</xdr:row>
      <xdr:rowOff>212150</xdr:rowOff>
    </xdr:to>
    <xdr:grpSp>
      <xdr:nvGrpSpPr>
        <xdr:cNvPr id="12" name="Achtergrond">
          <a:extLst>
            <a:ext uri="{FF2B5EF4-FFF2-40B4-BE49-F238E27FC236}">
              <a16:creationId xmlns:a16="http://schemas.microsoft.com/office/drawing/2014/main" id="{9215CC25-74F9-4B66-BCA0-6C9A16EC66C2}"/>
            </a:ext>
          </a:extLst>
        </xdr:cNvPr>
        <xdr:cNvGrpSpPr/>
      </xdr:nvGrpSpPr>
      <xdr:grpSpPr>
        <a:xfrm>
          <a:off x="365779" y="2081177"/>
          <a:ext cx="7065119" cy="9846723"/>
          <a:chOff x="358587" y="2095501"/>
          <a:chExt cx="7082120" cy="9827558"/>
        </a:xfrm>
      </xdr:grpSpPr>
      <xdr:grpSp>
        <xdr:nvGrpSpPr>
          <xdr:cNvPr id="54" name="Achtergrond_kleur">
            <a:extLst>
              <a:ext uri="{FF2B5EF4-FFF2-40B4-BE49-F238E27FC236}">
                <a16:creationId xmlns:a16="http://schemas.microsoft.com/office/drawing/2014/main" id="{9E9946C2-E1D1-4C07-902E-4D5DC8057CF2}"/>
              </a:ext>
            </a:extLst>
          </xdr:cNvPr>
          <xdr:cNvGrpSpPr/>
        </xdr:nvGrpSpPr>
        <xdr:grpSpPr>
          <a:xfrm>
            <a:off x="358587" y="2095501"/>
            <a:ext cx="7078727" cy="9827558"/>
            <a:chOff x="361950" y="2095501"/>
            <a:chExt cx="7077075" cy="9858374"/>
          </a:xfrm>
          <a:solidFill>
            <a:schemeClr val="tx2">
              <a:lumMod val="20000"/>
              <a:lumOff val="80000"/>
            </a:schemeClr>
          </a:solidFill>
        </xdr:grpSpPr>
        <xdr:sp macro="" textlink="">
          <xdr:nvSpPr>
            <xdr:cNvPr id="53" name="Achtergrond_kleur_03">
              <a:extLst>
                <a:ext uri="{FF2B5EF4-FFF2-40B4-BE49-F238E27FC236}">
                  <a16:creationId xmlns:a16="http://schemas.microsoft.com/office/drawing/2014/main" id="{36E0B431-AD33-4088-B6CF-0363D75620D5}"/>
                </a:ext>
              </a:extLst>
            </xdr:cNvPr>
            <xdr:cNvSpPr/>
          </xdr:nvSpPr>
          <xdr:spPr>
            <a:xfrm>
              <a:off x="361950" y="8975003"/>
              <a:ext cx="7077075" cy="2978872"/>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42" name="Achtergrond_kleur_02">
              <a:extLst>
                <a:ext uri="{FF2B5EF4-FFF2-40B4-BE49-F238E27FC236}">
                  <a16:creationId xmlns:a16="http://schemas.microsoft.com/office/drawing/2014/main" id="{0C9539F2-24AA-4D92-847A-A922281657EB}"/>
                </a:ext>
              </a:extLst>
            </xdr:cNvPr>
            <xdr:cNvSpPr/>
          </xdr:nvSpPr>
          <xdr:spPr>
            <a:xfrm>
              <a:off x="361950" y="3238501"/>
              <a:ext cx="7077075" cy="5518311"/>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43" name="Achtergrond_kleur_01">
              <a:extLst>
                <a:ext uri="{FF2B5EF4-FFF2-40B4-BE49-F238E27FC236}">
                  <a16:creationId xmlns:a16="http://schemas.microsoft.com/office/drawing/2014/main" id="{63907EA4-61B6-4B28-ABAD-41861678F4A1}"/>
                </a:ext>
              </a:extLst>
            </xdr:cNvPr>
            <xdr:cNvSpPr/>
          </xdr:nvSpPr>
          <xdr:spPr>
            <a:xfrm>
              <a:off x="361950" y="2095501"/>
              <a:ext cx="7077075" cy="762000"/>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grpSp>
      <xdr:grpSp>
        <xdr:nvGrpSpPr>
          <xdr:cNvPr id="2" name="Achtergrond_afb">
            <a:extLst>
              <a:ext uri="{FF2B5EF4-FFF2-40B4-BE49-F238E27FC236}">
                <a16:creationId xmlns:a16="http://schemas.microsoft.com/office/drawing/2014/main" id="{4A9110A0-5FC4-404E-B53B-E9CEB1E8049B}"/>
              </a:ext>
            </a:extLst>
          </xdr:cNvPr>
          <xdr:cNvGrpSpPr/>
        </xdr:nvGrpSpPr>
        <xdr:grpSpPr>
          <a:xfrm>
            <a:off x="358588" y="2095501"/>
            <a:ext cx="7082119" cy="9827558"/>
            <a:chOff x="358588" y="2095501"/>
            <a:chExt cx="7082119" cy="9827558"/>
          </a:xfrm>
        </xdr:grpSpPr>
        <xdr:pic>
          <xdr:nvPicPr>
            <xdr:cNvPr id="133" name="Achtergrond_afb_03">
              <a:extLst>
                <a:ext uri="{FF2B5EF4-FFF2-40B4-BE49-F238E27FC236}">
                  <a16:creationId xmlns:a16="http://schemas.microsoft.com/office/drawing/2014/main" id="{5399B7FC-EEC6-4C27-BEBA-9C8584B941CE}"/>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69783"/>
            <a:stretch/>
          </xdr:blipFill>
          <xdr:spPr>
            <a:xfrm>
              <a:off x="358588" y="8953500"/>
              <a:ext cx="7082118" cy="2969559"/>
            </a:xfrm>
            <a:prstGeom prst="rect">
              <a:avLst/>
            </a:prstGeom>
            <a:noFill/>
            <a:effectLst>
              <a:glow>
                <a:schemeClr val="accent1">
                  <a:alpha val="40000"/>
                </a:schemeClr>
              </a:glow>
              <a:softEdge rad="25400"/>
            </a:effectLst>
          </xdr:spPr>
        </xdr:pic>
        <xdr:pic>
          <xdr:nvPicPr>
            <xdr:cNvPr id="37" name="Achtergrond_afb_02">
              <a:extLst>
                <a:ext uri="{FF2B5EF4-FFF2-40B4-BE49-F238E27FC236}">
                  <a16:creationId xmlns:a16="http://schemas.microsoft.com/office/drawing/2014/main" id="{D8471BF3-BC1F-429C-85C0-AC97CC297D2B}"/>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11630" b="32155"/>
            <a:stretch/>
          </xdr:blipFill>
          <xdr:spPr>
            <a:xfrm>
              <a:off x="358589" y="3238499"/>
              <a:ext cx="7082118" cy="5497491"/>
            </a:xfrm>
            <a:prstGeom prst="rect">
              <a:avLst/>
            </a:prstGeom>
            <a:noFill/>
            <a:effectLst>
              <a:glow>
                <a:schemeClr val="accent1">
                  <a:alpha val="40000"/>
                </a:schemeClr>
              </a:glow>
              <a:softEdge rad="25400"/>
            </a:effectLst>
          </xdr:spPr>
        </xdr:pic>
        <xdr:pic>
          <xdr:nvPicPr>
            <xdr:cNvPr id="134" name="Achtergrond_afb_01">
              <a:extLst>
                <a:ext uri="{FF2B5EF4-FFF2-40B4-BE49-F238E27FC236}">
                  <a16:creationId xmlns:a16="http://schemas.microsoft.com/office/drawing/2014/main" id="{526A3A0B-AACF-4300-8815-F13FF5F187FD}"/>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b="92246"/>
            <a:stretch/>
          </xdr:blipFill>
          <xdr:spPr>
            <a:xfrm>
              <a:off x="358588" y="2095501"/>
              <a:ext cx="7082118" cy="761999"/>
            </a:xfrm>
            <a:prstGeom prst="rect">
              <a:avLst/>
            </a:prstGeom>
            <a:noFill/>
            <a:effectLst>
              <a:glow>
                <a:schemeClr val="accent1">
                  <a:alpha val="40000"/>
                </a:schemeClr>
              </a:glow>
              <a:softEdge rad="25400"/>
            </a:effectLst>
          </xdr:spPr>
        </xdr:pic>
      </xdr:grpSp>
    </xdr:grpSp>
    <xdr:clientData/>
  </xdr:twoCellAnchor>
  <xdr:twoCellAnchor>
    <xdr:from>
      <xdr:col>2</xdr:col>
      <xdr:colOff>6489</xdr:colOff>
      <xdr:row>17</xdr:row>
      <xdr:rowOff>22727</xdr:rowOff>
    </xdr:from>
    <xdr:to>
      <xdr:col>19</xdr:col>
      <xdr:colOff>1797</xdr:colOff>
      <xdr:row>59</xdr:row>
      <xdr:rowOff>217759</xdr:rowOff>
    </xdr:to>
    <xdr:grpSp>
      <xdr:nvGrpSpPr>
        <xdr:cNvPr id="39" name="Voorgrond_afbeelding">
          <a:extLst>
            <a:ext uri="{FF2B5EF4-FFF2-40B4-BE49-F238E27FC236}">
              <a16:creationId xmlns:a16="http://schemas.microsoft.com/office/drawing/2014/main" id="{C3B3C22E-EED8-510B-63CB-CEA49649B0E8}"/>
            </a:ext>
          </a:extLst>
        </xdr:cNvPr>
        <xdr:cNvGrpSpPr/>
      </xdr:nvGrpSpPr>
      <xdr:grpSpPr>
        <a:xfrm>
          <a:off x="368439" y="3261227"/>
          <a:ext cx="7072383" cy="8672282"/>
          <a:chOff x="361951" y="3249325"/>
          <a:chExt cx="7077600" cy="8689471"/>
        </a:xfrm>
      </xdr:grpSpPr>
      <xdr:grpSp>
        <xdr:nvGrpSpPr>
          <xdr:cNvPr id="13" name="Groepsindeling - Vlaggen">
            <a:extLst>
              <a:ext uri="{FF2B5EF4-FFF2-40B4-BE49-F238E27FC236}">
                <a16:creationId xmlns:a16="http://schemas.microsoft.com/office/drawing/2014/main" id="{00000000-0008-0000-0500-00000D000000}"/>
              </a:ext>
            </a:extLst>
          </xdr:cNvPr>
          <xdr:cNvGrpSpPr/>
        </xdr:nvGrpSpPr>
        <xdr:grpSpPr>
          <a:xfrm>
            <a:off x="949586" y="9446333"/>
            <a:ext cx="4858210" cy="2249512"/>
            <a:chOff x="1027635" y="9166133"/>
            <a:chExt cx="5232406" cy="2201399"/>
          </a:xfrm>
        </xdr:grpSpPr>
        <xdr:grpSp>
          <xdr:nvGrpSpPr>
            <xdr:cNvPr id="10" name="Groep 8" hidden="1">
              <a:extLst>
                <a:ext uri="{FF2B5EF4-FFF2-40B4-BE49-F238E27FC236}">
                  <a16:creationId xmlns:a16="http://schemas.microsoft.com/office/drawing/2014/main" id="{00000000-0008-0000-0500-00000A000000}"/>
                </a:ext>
              </a:extLst>
            </xdr:cNvPr>
            <xdr:cNvGrpSpPr/>
          </xdr:nvGrpSpPr>
          <xdr:grpSpPr>
            <a:xfrm>
              <a:off x="6011860" y="10510899"/>
              <a:ext cx="248181" cy="840955"/>
              <a:chOff x="5549305" y="10737566"/>
              <a:chExt cx="230905" cy="863554"/>
            </a:xfrm>
          </xdr:grpSpPr>
          <xdr:pic>
            <xdr:nvPicPr>
              <xdr:cNvPr id="158" name="84 - vlag">
                <a:extLst>
                  <a:ext uri="{FF2B5EF4-FFF2-40B4-BE49-F238E27FC236}">
                    <a16:creationId xmlns:a16="http://schemas.microsoft.com/office/drawing/2014/main" id="{00000000-0008-0000-0500-00009E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5549305" y="11451454"/>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7" name="83 - vlag">
                <a:extLst>
                  <a:ext uri="{FF2B5EF4-FFF2-40B4-BE49-F238E27FC236}">
                    <a16:creationId xmlns:a16="http://schemas.microsoft.com/office/drawing/2014/main" id="{00000000-0008-0000-0500-00009D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5549305" y="1121349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6" name="82 - vlag">
                <a:extLst>
                  <a:ext uri="{FF2B5EF4-FFF2-40B4-BE49-F238E27FC236}">
                    <a16:creationId xmlns:a16="http://schemas.microsoft.com/office/drawing/2014/main" id="{00000000-0008-0000-0500-00009C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5549306" y="10975528"/>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5" name="81 - vlag">
                <a:extLst>
                  <a:ext uri="{FF2B5EF4-FFF2-40B4-BE49-F238E27FC236}">
                    <a16:creationId xmlns:a16="http://schemas.microsoft.com/office/drawing/2014/main" id="{00000000-0008-0000-0500-00009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5549306" y="1073756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9" name="Groep 7">
              <a:extLst>
                <a:ext uri="{FF2B5EF4-FFF2-40B4-BE49-F238E27FC236}">
                  <a16:creationId xmlns:a16="http://schemas.microsoft.com/office/drawing/2014/main" id="{00000000-0008-0000-0500-000009000000}"/>
                </a:ext>
              </a:extLst>
            </xdr:cNvPr>
            <xdr:cNvGrpSpPr/>
          </xdr:nvGrpSpPr>
          <xdr:grpSpPr>
            <a:xfrm>
              <a:off x="4346788" y="10488703"/>
              <a:ext cx="246897" cy="868520"/>
              <a:chOff x="4000152" y="10714777"/>
              <a:chExt cx="229711" cy="891860"/>
            </a:xfrm>
          </xdr:grpSpPr>
          <xdr:pic>
            <xdr:nvPicPr>
              <xdr:cNvPr id="154" name="74 - vlag">
                <a:extLst>
                  <a:ext uri="{FF2B5EF4-FFF2-40B4-BE49-F238E27FC236}">
                    <a16:creationId xmlns:a16="http://schemas.microsoft.com/office/drawing/2014/main" id="{00000000-0008-0000-0500-00009A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4001752" y="11456971"/>
                <a:ext cx="22811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3" name="73 - vlag">
                <a:extLst>
                  <a:ext uri="{FF2B5EF4-FFF2-40B4-BE49-F238E27FC236}">
                    <a16:creationId xmlns:a16="http://schemas.microsoft.com/office/drawing/2014/main" id="{00000000-0008-0000-0500-000099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4000152" y="11239113"/>
                <a:ext cx="229710" cy="14854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2" name="72 - vlag">
                <a:extLst>
                  <a:ext uri="{FF2B5EF4-FFF2-40B4-BE49-F238E27FC236}">
                    <a16:creationId xmlns:a16="http://schemas.microsoft.com/office/drawing/2014/main" id="{00000000-0008-0000-0500-000098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4008834" y="10998080"/>
                <a:ext cx="20059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49" name="71 - vlag">
                <a:extLst>
                  <a:ext uri="{FF2B5EF4-FFF2-40B4-BE49-F238E27FC236}">
                    <a16:creationId xmlns:a16="http://schemas.microsoft.com/office/drawing/2014/main" id="{00000000-0008-0000-0500-000095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bwMode="auto">
              <a:xfrm>
                <a:off x="4011971" y="10714777"/>
                <a:ext cx="215990" cy="14171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8" name="Groep 6">
              <a:extLst>
                <a:ext uri="{FF2B5EF4-FFF2-40B4-BE49-F238E27FC236}">
                  <a16:creationId xmlns:a16="http://schemas.microsoft.com/office/drawing/2014/main" id="{00000000-0008-0000-0500-000008000000}"/>
                </a:ext>
              </a:extLst>
            </xdr:cNvPr>
            <xdr:cNvGrpSpPr/>
          </xdr:nvGrpSpPr>
          <xdr:grpSpPr>
            <a:xfrm>
              <a:off x="2689514" y="10510893"/>
              <a:ext cx="246896" cy="856639"/>
              <a:chOff x="2458225" y="10737566"/>
              <a:chExt cx="229709" cy="879660"/>
            </a:xfrm>
          </xdr:grpSpPr>
          <xdr:pic>
            <xdr:nvPicPr>
              <xdr:cNvPr id="128" name="64 - vlag">
                <a:extLst>
                  <a:ext uri="{FF2B5EF4-FFF2-40B4-BE49-F238E27FC236}">
                    <a16:creationId xmlns:a16="http://schemas.microsoft.com/office/drawing/2014/main" id="{00000000-0008-0000-0500-000080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bwMode="auto">
              <a:xfrm>
                <a:off x="2473461" y="11468748"/>
                <a:ext cx="198999"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7" name="63 - vlag">
                <a:extLst>
                  <a:ext uri="{FF2B5EF4-FFF2-40B4-BE49-F238E27FC236}">
                    <a16:creationId xmlns:a16="http://schemas.microsoft.com/office/drawing/2014/main" id="{00000000-0008-0000-0500-00007F0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bwMode="auto">
              <a:xfrm>
                <a:off x="2468128" y="11213491"/>
                <a:ext cx="2083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6" name="62 - vlag">
                <a:extLst>
                  <a:ext uri="{FF2B5EF4-FFF2-40B4-BE49-F238E27FC236}">
                    <a16:creationId xmlns:a16="http://schemas.microsoft.com/office/drawing/2014/main" id="{00000000-0008-0000-0500-00007E0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bwMode="auto">
              <a:xfrm>
                <a:off x="2458226" y="11002832"/>
                <a:ext cx="229708" cy="14491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4" name="61 - vlag">
                <a:extLst>
                  <a:ext uri="{FF2B5EF4-FFF2-40B4-BE49-F238E27FC236}">
                    <a16:creationId xmlns:a16="http://schemas.microsoft.com/office/drawing/2014/main" id="{00000000-0008-0000-0500-00007C0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bwMode="auto">
              <a:xfrm>
                <a:off x="2458225" y="10737566"/>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7" name="Groep 5">
              <a:extLst>
                <a:ext uri="{FF2B5EF4-FFF2-40B4-BE49-F238E27FC236}">
                  <a16:creationId xmlns:a16="http://schemas.microsoft.com/office/drawing/2014/main" id="{00000000-0008-0000-0500-000007000000}"/>
                </a:ext>
              </a:extLst>
            </xdr:cNvPr>
            <xdr:cNvGrpSpPr/>
          </xdr:nvGrpSpPr>
          <xdr:grpSpPr>
            <a:xfrm>
              <a:off x="1029130" y="10516268"/>
              <a:ext cx="245175" cy="836069"/>
              <a:chOff x="913434" y="10743084"/>
              <a:chExt cx="228110" cy="858537"/>
            </a:xfrm>
          </xdr:grpSpPr>
          <xdr:pic>
            <xdr:nvPicPr>
              <xdr:cNvPr id="123" name="54 - vlag">
                <a:extLst>
                  <a:ext uri="{FF2B5EF4-FFF2-40B4-BE49-F238E27FC236}">
                    <a16:creationId xmlns:a16="http://schemas.microsoft.com/office/drawing/2014/main" id="{00000000-0008-0000-0500-00007B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913434" y="11451955"/>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2" name="53 - vlag">
                <a:extLst>
                  <a:ext uri="{FF2B5EF4-FFF2-40B4-BE49-F238E27FC236}">
                    <a16:creationId xmlns:a16="http://schemas.microsoft.com/office/drawing/2014/main" id="{00000000-0008-0000-0500-00007A000000}"/>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bwMode="auto">
              <a:xfrm>
                <a:off x="920943" y="11225053"/>
                <a:ext cx="210562" cy="13815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1" name="52 - vlag">
                <a:extLst>
                  <a:ext uri="{FF2B5EF4-FFF2-40B4-BE49-F238E27FC236}">
                    <a16:creationId xmlns:a16="http://schemas.microsoft.com/office/drawing/2014/main" id="{00000000-0008-0000-0500-000079000000}"/>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bwMode="auto">
              <a:xfrm>
                <a:off x="920345" y="10998082"/>
                <a:ext cx="219934" cy="1389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9" name="51 - vlag">
                <a:extLst>
                  <a:ext uri="{FF2B5EF4-FFF2-40B4-BE49-F238E27FC236}">
                    <a16:creationId xmlns:a16="http://schemas.microsoft.com/office/drawing/2014/main" id="{00000000-0008-0000-0500-000077000000}"/>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bwMode="auto">
              <a:xfrm>
                <a:off x="917904" y="10743084"/>
                <a:ext cx="21664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6" name="Groep 4" hidden="1">
              <a:extLst>
                <a:ext uri="{FF2B5EF4-FFF2-40B4-BE49-F238E27FC236}">
                  <a16:creationId xmlns:a16="http://schemas.microsoft.com/office/drawing/2014/main" id="{00000000-0008-0000-0500-000006000000}"/>
                </a:ext>
              </a:extLst>
            </xdr:cNvPr>
            <xdr:cNvGrpSpPr/>
          </xdr:nvGrpSpPr>
          <xdr:grpSpPr>
            <a:xfrm>
              <a:off x="6011860" y="9166133"/>
              <a:ext cx="248181" cy="840955"/>
              <a:chOff x="5549305" y="9356663"/>
              <a:chExt cx="230905" cy="863554"/>
            </a:xfrm>
          </xdr:grpSpPr>
          <xdr:pic>
            <xdr:nvPicPr>
              <xdr:cNvPr id="118" name="44 - vlag">
                <a:extLst>
                  <a:ext uri="{FF2B5EF4-FFF2-40B4-BE49-F238E27FC236}">
                    <a16:creationId xmlns:a16="http://schemas.microsoft.com/office/drawing/2014/main" id="{00000000-0008-0000-0500-000076000000}"/>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bwMode="auto">
              <a:xfrm>
                <a:off x="5549306" y="1007055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7" name="43 - vlag">
                <a:extLst>
                  <a:ext uri="{FF2B5EF4-FFF2-40B4-BE49-F238E27FC236}">
                    <a16:creationId xmlns:a16="http://schemas.microsoft.com/office/drawing/2014/main" id="{00000000-0008-0000-0500-000075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5564408" y="9832370"/>
                <a:ext cx="200701"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6" name="42 - vlag">
                <a:extLst>
                  <a:ext uri="{FF2B5EF4-FFF2-40B4-BE49-F238E27FC236}">
                    <a16:creationId xmlns:a16="http://schemas.microsoft.com/office/drawing/2014/main" id="{00000000-0008-0000-0500-000074000000}"/>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bwMode="auto">
              <a:xfrm>
                <a:off x="5549306" y="9611567"/>
                <a:ext cx="230904" cy="11578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5" name="41 - vlag">
                <a:extLst>
                  <a:ext uri="{FF2B5EF4-FFF2-40B4-BE49-F238E27FC236}">
                    <a16:creationId xmlns:a16="http://schemas.microsoft.com/office/drawing/2014/main" id="{00000000-0008-0000-0500-000073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5549305" y="9356663"/>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5" name="Groep 3">
              <a:extLst>
                <a:ext uri="{FF2B5EF4-FFF2-40B4-BE49-F238E27FC236}">
                  <a16:creationId xmlns:a16="http://schemas.microsoft.com/office/drawing/2014/main" id="{00000000-0008-0000-0500-000005000000}"/>
                </a:ext>
              </a:extLst>
            </xdr:cNvPr>
            <xdr:cNvGrpSpPr/>
          </xdr:nvGrpSpPr>
          <xdr:grpSpPr>
            <a:xfrm>
              <a:off x="4341335" y="9182246"/>
              <a:ext cx="255227" cy="820700"/>
              <a:chOff x="3995063" y="9373225"/>
              <a:chExt cx="237460" cy="842756"/>
            </a:xfrm>
          </xdr:grpSpPr>
          <xdr:pic>
            <xdr:nvPicPr>
              <xdr:cNvPr id="114" name="34 - vlag">
                <a:extLst>
                  <a:ext uri="{FF2B5EF4-FFF2-40B4-BE49-F238E27FC236}">
                    <a16:creationId xmlns:a16="http://schemas.microsoft.com/office/drawing/2014/main" id="{00000000-0008-0000-0500-000072000000}"/>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bwMode="auto">
              <a:xfrm>
                <a:off x="3995063" y="10076135"/>
                <a:ext cx="230904"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3" name="33 - vlag">
                <a:extLst>
                  <a:ext uri="{FF2B5EF4-FFF2-40B4-BE49-F238E27FC236}">
                    <a16:creationId xmlns:a16="http://schemas.microsoft.com/office/drawing/2014/main" id="{00000000-0008-0000-0500-000071000000}"/>
                  </a:ext>
                </a:extLst>
              </xdr:cNvPr>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bwMode="auto">
              <a:xfrm>
                <a:off x="4001738" y="9832027"/>
                <a:ext cx="215953"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2" name="32 - vlag">
                <a:extLst>
                  <a:ext uri="{FF2B5EF4-FFF2-40B4-BE49-F238E27FC236}">
                    <a16:creationId xmlns:a16="http://schemas.microsoft.com/office/drawing/2014/main" id="{00000000-0008-0000-0500-000070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4018225" y="9594626"/>
                <a:ext cx="197693"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1" name="31 - vlag">
                <a:extLst>
                  <a:ext uri="{FF2B5EF4-FFF2-40B4-BE49-F238E27FC236}">
                    <a16:creationId xmlns:a16="http://schemas.microsoft.com/office/drawing/2014/main" id="{00000000-0008-0000-0500-00006F000000}"/>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bwMode="auto">
              <a:xfrm>
                <a:off x="4001619" y="9373225"/>
                <a:ext cx="230904"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4" name="Groep 2">
              <a:extLst>
                <a:ext uri="{FF2B5EF4-FFF2-40B4-BE49-F238E27FC236}">
                  <a16:creationId xmlns:a16="http://schemas.microsoft.com/office/drawing/2014/main" id="{00000000-0008-0000-0500-000004000000}"/>
                </a:ext>
              </a:extLst>
            </xdr:cNvPr>
            <xdr:cNvGrpSpPr/>
          </xdr:nvGrpSpPr>
          <xdr:grpSpPr>
            <a:xfrm>
              <a:off x="2686638" y="9172219"/>
              <a:ext cx="248180" cy="835348"/>
              <a:chOff x="2455564" y="9362920"/>
              <a:chExt cx="230905" cy="857797"/>
            </a:xfrm>
          </xdr:grpSpPr>
          <xdr:pic>
            <xdr:nvPicPr>
              <xdr:cNvPr id="110" name="24 - vlag">
                <a:extLst>
                  <a:ext uri="{FF2B5EF4-FFF2-40B4-BE49-F238E27FC236}">
                    <a16:creationId xmlns:a16="http://schemas.microsoft.com/office/drawing/2014/main" id="{00000000-0008-0000-0500-00006E000000}"/>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bwMode="auto">
              <a:xfrm>
                <a:off x="2466374" y="10071051"/>
                <a:ext cx="211816"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9" name="23 - vlag">
                <a:extLst>
                  <a:ext uri="{FF2B5EF4-FFF2-40B4-BE49-F238E27FC236}">
                    <a16:creationId xmlns:a16="http://schemas.microsoft.com/office/drawing/2014/main" id="{00000000-0008-0000-0500-00006D000000}"/>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bwMode="auto">
              <a:xfrm>
                <a:off x="2475774" y="9844603"/>
                <a:ext cx="193014"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8" name="22 - vlag">
                <a:extLst>
                  <a:ext uri="{FF2B5EF4-FFF2-40B4-BE49-F238E27FC236}">
                    <a16:creationId xmlns:a16="http://schemas.microsoft.com/office/drawing/2014/main" id="{00000000-0008-0000-0500-00006C000000}"/>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bwMode="auto">
              <a:xfrm>
                <a:off x="2455564" y="9616706"/>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7" name="21 - vlag">
                <a:extLst>
                  <a:ext uri="{FF2B5EF4-FFF2-40B4-BE49-F238E27FC236}">
                    <a16:creationId xmlns:a16="http://schemas.microsoft.com/office/drawing/2014/main" id="{00000000-0008-0000-0500-00006B000000}"/>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xdr:blipFill>
            <xdr:spPr bwMode="auto">
              <a:xfrm>
                <a:off x="2465735" y="9362920"/>
                <a:ext cx="210562" cy="13815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3" name="Groep 1">
              <a:extLst>
                <a:ext uri="{FF2B5EF4-FFF2-40B4-BE49-F238E27FC236}">
                  <a16:creationId xmlns:a16="http://schemas.microsoft.com/office/drawing/2014/main" id="{00000000-0008-0000-0500-000003000000}"/>
                </a:ext>
              </a:extLst>
            </xdr:cNvPr>
            <xdr:cNvGrpSpPr/>
          </xdr:nvGrpSpPr>
          <xdr:grpSpPr>
            <a:xfrm>
              <a:off x="1027635" y="9194643"/>
              <a:ext cx="248181" cy="811947"/>
              <a:chOff x="912037" y="9385946"/>
              <a:chExt cx="230905" cy="833767"/>
            </a:xfrm>
          </xdr:grpSpPr>
          <xdr:pic>
            <xdr:nvPicPr>
              <xdr:cNvPr id="106" name="14 - vlag">
                <a:extLst>
                  <a:ext uri="{FF2B5EF4-FFF2-40B4-BE49-F238E27FC236}">
                    <a16:creationId xmlns:a16="http://schemas.microsoft.com/office/drawing/2014/main" id="{00000000-0008-0000-0500-00006A000000}"/>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bwMode="auto">
              <a:xfrm>
                <a:off x="956244" y="10070049"/>
                <a:ext cx="148270" cy="14966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3" name="13 - vlag">
                <a:extLst>
                  <a:ext uri="{FF2B5EF4-FFF2-40B4-BE49-F238E27FC236}">
                    <a16:creationId xmlns:a16="http://schemas.microsoft.com/office/drawing/2014/main" id="{00000000-0008-0000-0500-000067000000}"/>
                  </a:ext>
                </a:extLst>
              </xdr:cNvPr>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bwMode="auto">
              <a:xfrm>
                <a:off x="912037" y="9849651"/>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2" name="12 - vlag">
                <a:extLst>
                  <a:ext uri="{FF2B5EF4-FFF2-40B4-BE49-F238E27FC236}">
                    <a16:creationId xmlns:a16="http://schemas.microsoft.com/office/drawing/2014/main" id="{00000000-0008-0000-0500-000066000000}"/>
                  </a:ext>
                </a:extLst>
              </xdr:cNvPr>
              <xdr:cNvPicPr>
                <a:picLocks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xdr:blipFill>
            <xdr:spPr bwMode="auto">
              <a:xfrm>
                <a:off x="912037" y="9600036"/>
                <a:ext cx="230905"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76" name="11 - vlag">
                <a:extLst>
                  <a:ext uri="{FF2B5EF4-FFF2-40B4-BE49-F238E27FC236}">
                    <a16:creationId xmlns:a16="http://schemas.microsoft.com/office/drawing/2014/main" id="{00000000-0008-0000-0500-00004C000000}"/>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xdr:blipFill>
            <xdr:spPr bwMode="auto">
              <a:xfrm>
                <a:off x="913832" y="9385946"/>
                <a:ext cx="227315" cy="1376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pic>
        <xdr:nvPicPr>
          <xdr:cNvPr id="32" name="Beker">
            <a:extLst>
              <a:ext uri="{FF2B5EF4-FFF2-40B4-BE49-F238E27FC236}">
                <a16:creationId xmlns:a16="http://schemas.microsoft.com/office/drawing/2014/main" id="{75D25D88-2F41-3BC3-710C-A17DB27FFE6C}"/>
              </a:ext>
            </a:extLst>
          </xdr:cNvPr>
          <xdr:cNvPicPr>
            <a:picLocks noChangeAspect="1"/>
          </xdr:cNvPicPr>
        </xdr:nvPicPr>
        <xdr:blipFill>
          <a:blip xmlns:r="http://schemas.openxmlformats.org/officeDocument/2006/relationships" r:embed="rId32" cstate="print">
            <a:alphaModFix amt="50000"/>
            <a:extLst>
              <a:ext uri="{BEBA8EAE-BF5A-486C-A8C5-ECC9F3942E4B}">
                <a14:imgProps xmlns:a14="http://schemas.microsoft.com/office/drawing/2010/main">
                  <a14:imgLayer r:embed="rId33">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3826795" y="9487662"/>
            <a:ext cx="3612756" cy="2451134"/>
          </a:xfrm>
          <a:prstGeom prst="rect">
            <a:avLst/>
          </a:prstGeom>
          <a:noFill/>
          <a:effectLst>
            <a:glow>
              <a:schemeClr val="accent1">
                <a:alpha val="40000"/>
              </a:schemeClr>
            </a:glow>
            <a:softEdge rad="25400"/>
          </a:effectLst>
        </xdr:spPr>
      </xdr:pic>
      <xdr:pic>
        <xdr:nvPicPr>
          <xdr:cNvPr id="38" name="Kader">
            <a:extLst>
              <a:ext uri="{FF2B5EF4-FFF2-40B4-BE49-F238E27FC236}">
                <a16:creationId xmlns:a16="http://schemas.microsoft.com/office/drawing/2014/main" id="{2B6D0002-C8BC-4AFD-F1AB-82883526A679}"/>
              </a:ext>
            </a:extLst>
          </xdr:cNvPr>
          <xdr:cNvPicPr>
            <a:picLocks noChangeAspect="1"/>
          </xdr:cNvPicPr>
        </xdr:nvPicPr>
        <xdr:blipFill>
          <a:blip xmlns:r="http://schemas.openxmlformats.org/officeDocument/2006/relationships" r:embed="rId34" cstate="print">
            <a:alphaModFix amt="50000"/>
            <a:extLst>
              <a:ext uri="{BEBA8EAE-BF5A-486C-A8C5-ECC9F3942E4B}">
                <a14:imgProps xmlns:a14="http://schemas.microsoft.com/office/drawing/2010/main">
                  <a14:imgLayer r:embed="rId35">
                    <a14:imgEffect>
                      <a14:colorTemperature colorTemp="8800"/>
                    </a14:imgEffect>
                  </a14:imgLayer>
                </a14:imgProps>
              </a:ext>
              <a:ext uri="{28A0092B-C50C-407E-A947-70E740481C1C}">
                <a14:useLocalDpi xmlns:a14="http://schemas.microsoft.com/office/drawing/2010/main" val="0"/>
              </a:ext>
            </a:extLst>
          </a:blip>
          <a:stretch>
            <a:fillRect/>
          </a:stretch>
        </xdr:blipFill>
        <xdr:spPr>
          <a:xfrm flipV="1">
            <a:off x="361951" y="3249325"/>
            <a:ext cx="7077600" cy="1942192"/>
          </a:xfrm>
          <a:prstGeom prst="rect">
            <a:avLst/>
          </a:prstGeom>
          <a:noFill/>
          <a:effectLst>
            <a:glow>
              <a:schemeClr val="accent1">
                <a:alpha val="40000"/>
              </a:schemeClr>
            </a:glow>
            <a:softEdge rad="25400"/>
          </a:effectLst>
        </xdr:spPr>
      </xdr:pic>
      <xdr:pic>
        <xdr:nvPicPr>
          <xdr:cNvPr id="28" name="Logo EURO2024">
            <a:extLst>
              <a:ext uri="{FF2B5EF4-FFF2-40B4-BE49-F238E27FC236}">
                <a16:creationId xmlns:a16="http://schemas.microsoft.com/office/drawing/2014/main" id="{0ABD80F4-B53D-700C-92C2-142D7950C9D6}"/>
              </a:ext>
            </a:extLst>
          </xdr:cNvPr>
          <xdr:cNvPicPr>
            <a:picLocks noChangeAspect="1"/>
          </xdr:cNvPicPr>
        </xdr:nvPicPr>
        <xdr:blipFill rotWithShape="1">
          <a:blip xmlns:r="http://schemas.openxmlformats.org/officeDocument/2006/relationships" r:embed="rId36" cstate="print">
            <a:extLst>
              <a:ext uri="{BEBA8EAE-BF5A-486C-A8C5-ECC9F3942E4B}">
                <a14:imgProps xmlns:a14="http://schemas.microsoft.com/office/drawing/2010/main">
                  <a14:imgLayer r:embed="rId37">
                    <a14:imgEffect>
                      <a14:colorTemperature colorTemp="8800"/>
                    </a14:imgEffect>
                  </a14:imgLayer>
                </a14:imgProps>
              </a:ext>
              <a:ext uri="{28A0092B-C50C-407E-A947-70E740481C1C}">
                <a14:useLocalDpi xmlns:a14="http://schemas.microsoft.com/office/drawing/2010/main" val="0"/>
              </a:ext>
            </a:extLst>
          </a:blip>
          <a:srcRect l="-3179" t="-5784" r="-3021" b="-2362"/>
          <a:stretch/>
        </xdr:blipFill>
        <xdr:spPr>
          <a:xfrm>
            <a:off x="2419350" y="3619500"/>
            <a:ext cx="2933699" cy="3562350"/>
          </a:xfrm>
          <a:prstGeom prst="ellipse">
            <a:avLst/>
          </a:prstGeom>
          <a:effectLst>
            <a:glow rad="50800">
              <a:schemeClr val="bg1">
                <a:alpha val="50000"/>
              </a:schemeClr>
            </a:glow>
          </a:effectLst>
        </xdr:spPr>
      </xdr:pic>
      <xdr:pic>
        <xdr:nvPicPr>
          <xdr:cNvPr id="30" name="Titel EURO2042">
            <a:extLst>
              <a:ext uri="{FF2B5EF4-FFF2-40B4-BE49-F238E27FC236}">
                <a16:creationId xmlns:a16="http://schemas.microsoft.com/office/drawing/2014/main" id="{D92E7863-E1F0-69B8-1B80-39284939C68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33707" y="5873076"/>
            <a:ext cx="4313406" cy="2092691"/>
          </a:xfrm>
          <a:prstGeom prst="rect">
            <a:avLst/>
          </a:prstGeom>
          <a:effectLst>
            <a:glow rad="50800">
              <a:schemeClr val="bg1">
                <a:alpha val="50000"/>
              </a:schemeClr>
            </a:glow>
          </a:effectLst>
        </xdr:spPr>
      </xdr:pic>
    </xdr:grpSp>
    <xdr:clientData/>
  </xdr:twoCellAnchor>
  <xdr:twoCellAnchor>
    <xdr:from>
      <xdr:col>2</xdr:col>
      <xdr:colOff>5242</xdr:colOff>
      <xdr:row>11</xdr:row>
      <xdr:rowOff>160009</xdr:rowOff>
    </xdr:from>
    <xdr:to>
      <xdr:col>18</xdr:col>
      <xdr:colOff>171438</xdr:colOff>
      <xdr:row>58</xdr:row>
      <xdr:rowOff>225980</xdr:rowOff>
    </xdr:to>
    <xdr:grpSp>
      <xdr:nvGrpSpPr>
        <xdr:cNvPr id="23" name="Voorgrond_tekst">
          <a:extLst>
            <a:ext uri="{FF2B5EF4-FFF2-40B4-BE49-F238E27FC236}">
              <a16:creationId xmlns:a16="http://schemas.microsoft.com/office/drawing/2014/main" id="{7A647252-AB39-49B5-94E1-A9D64CE86352}"/>
            </a:ext>
          </a:extLst>
        </xdr:cNvPr>
        <xdr:cNvGrpSpPr/>
      </xdr:nvGrpSpPr>
      <xdr:grpSpPr>
        <a:xfrm>
          <a:off x="367192" y="2255509"/>
          <a:ext cx="7062296" cy="9448096"/>
          <a:chOff x="360009" y="2267777"/>
          <a:chExt cx="7079277" cy="9432814"/>
        </a:xfrm>
      </xdr:grpSpPr>
      <xdr:grpSp>
        <xdr:nvGrpSpPr>
          <xdr:cNvPr id="14" name="Groepsindeling - Landen">
            <a:extLst>
              <a:ext uri="{FF2B5EF4-FFF2-40B4-BE49-F238E27FC236}">
                <a16:creationId xmlns:a16="http://schemas.microsoft.com/office/drawing/2014/main" id="{00000000-0008-0000-0500-00000E000000}"/>
              </a:ext>
            </a:extLst>
          </xdr:cNvPr>
          <xdr:cNvGrpSpPr/>
        </xdr:nvGrpSpPr>
        <xdr:grpSpPr>
          <a:xfrm>
            <a:off x="1227520" y="9365274"/>
            <a:ext cx="5845396" cy="2335317"/>
            <a:chOff x="1322387" y="9124158"/>
            <a:chExt cx="6295062" cy="2278466"/>
          </a:xfrm>
        </xdr:grpSpPr>
        <xdr:grpSp>
          <xdr:nvGrpSpPr>
            <xdr:cNvPr id="26" name="Groep 8" hidden="1">
              <a:extLst>
                <a:ext uri="{FF2B5EF4-FFF2-40B4-BE49-F238E27FC236}">
                  <a16:creationId xmlns:a16="http://schemas.microsoft.com/office/drawing/2014/main" id="{00000000-0008-0000-0500-00001A000000}"/>
                </a:ext>
              </a:extLst>
            </xdr:cNvPr>
            <xdr:cNvGrpSpPr/>
          </xdr:nvGrpSpPr>
          <xdr:grpSpPr>
            <a:xfrm>
              <a:off x="6302129" y="10471091"/>
              <a:ext cx="1315320" cy="931533"/>
              <a:chOff x="5867826" y="10785231"/>
              <a:chExt cx="1225039" cy="967848"/>
            </a:xfrm>
          </xdr:grpSpPr>
          <xdr:sp macro="" textlink="$P$59">
            <xdr:nvSpPr>
              <xdr:cNvPr id="88" name="84 - land">
                <a:extLst>
                  <a:ext uri="{FF2B5EF4-FFF2-40B4-BE49-F238E27FC236}">
                    <a16:creationId xmlns:a16="http://schemas.microsoft.com/office/drawing/2014/main" id="{00000000-0008-0000-0500-000058000000}"/>
                  </a:ext>
                </a:extLst>
              </xdr:cNvPr>
              <xdr:cNvSpPr txBox="1"/>
            </xdr:nvSpPr>
            <xdr:spPr>
              <a:xfrm>
                <a:off x="586782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CC7758C-C737-4F71-B128-BF53049F12AA}" type="TxLink">
                  <a:rPr lang="en-US" sz="1400" b="0" i="0" u="none" strike="noStrike">
                    <a:solidFill>
                      <a:srgbClr val="0050A0"/>
                    </a:solidFill>
                    <a:latin typeface="Calibri"/>
                    <a:cs typeface="Calibri"/>
                  </a:rPr>
                  <a:pPr/>
                  <a:t>ZZZ_land_H4</a:t>
                </a:fld>
                <a:endParaRPr lang="nl-NL" sz="1100" i="0">
                  <a:solidFill>
                    <a:srgbClr val="0050A0"/>
                  </a:solidFill>
                </a:endParaRPr>
              </a:p>
            </xdr:txBody>
          </xdr:sp>
          <xdr:sp macro="" textlink="$P$58">
            <xdr:nvSpPr>
              <xdr:cNvPr id="87" name="83 - land">
                <a:extLst>
                  <a:ext uri="{FF2B5EF4-FFF2-40B4-BE49-F238E27FC236}">
                    <a16:creationId xmlns:a16="http://schemas.microsoft.com/office/drawing/2014/main" id="{00000000-0008-0000-0500-000057000000}"/>
                  </a:ext>
                </a:extLst>
              </xdr:cNvPr>
              <xdr:cNvSpPr txBox="1"/>
            </xdr:nvSpPr>
            <xdr:spPr>
              <a:xfrm>
                <a:off x="586886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C7CD86A-BD0C-4C8B-811A-DAEAF5AAE598}" type="TxLink">
                  <a:rPr lang="en-US" sz="1400" b="0" i="0" u="none" strike="noStrike">
                    <a:solidFill>
                      <a:srgbClr val="0050A0"/>
                    </a:solidFill>
                    <a:latin typeface="Calibri"/>
                    <a:cs typeface="Calibri"/>
                  </a:rPr>
                  <a:pPr/>
                  <a:t>ZZZ_land_H3</a:t>
                </a:fld>
                <a:endParaRPr lang="nl-NL" sz="1100" i="0">
                  <a:solidFill>
                    <a:srgbClr val="0050A0"/>
                  </a:solidFill>
                </a:endParaRPr>
              </a:p>
            </xdr:txBody>
          </xdr:sp>
          <xdr:sp macro="" textlink="$P$57">
            <xdr:nvSpPr>
              <xdr:cNvPr id="86" name="82 - land">
                <a:extLst>
                  <a:ext uri="{FF2B5EF4-FFF2-40B4-BE49-F238E27FC236}">
                    <a16:creationId xmlns:a16="http://schemas.microsoft.com/office/drawing/2014/main" id="{00000000-0008-0000-0500-000056000000}"/>
                  </a:ext>
                </a:extLst>
              </xdr:cNvPr>
              <xdr:cNvSpPr txBox="1"/>
            </xdr:nvSpPr>
            <xdr:spPr>
              <a:xfrm>
                <a:off x="586886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B7648F6-B8E2-461A-A1DC-0C0405C04126}" type="TxLink">
                  <a:rPr lang="en-US" sz="1400" b="0" i="0" u="none" strike="noStrike">
                    <a:solidFill>
                      <a:srgbClr val="0050A0"/>
                    </a:solidFill>
                    <a:latin typeface="Calibri"/>
                    <a:cs typeface="Calibri"/>
                  </a:rPr>
                  <a:pPr/>
                  <a:t>ZZZ_land_H2</a:t>
                </a:fld>
                <a:endParaRPr lang="nl-NL" sz="1100" i="0">
                  <a:solidFill>
                    <a:srgbClr val="0050A0"/>
                  </a:solidFill>
                </a:endParaRPr>
              </a:p>
            </xdr:txBody>
          </xdr:sp>
          <xdr:sp macro="" textlink="$P$56">
            <xdr:nvSpPr>
              <xdr:cNvPr id="85" name="81 - land">
                <a:extLst>
                  <a:ext uri="{FF2B5EF4-FFF2-40B4-BE49-F238E27FC236}">
                    <a16:creationId xmlns:a16="http://schemas.microsoft.com/office/drawing/2014/main" id="{00000000-0008-0000-0500-000055000000}"/>
                  </a:ext>
                </a:extLst>
              </xdr:cNvPr>
              <xdr:cNvSpPr txBox="1"/>
            </xdr:nvSpPr>
            <xdr:spPr>
              <a:xfrm>
                <a:off x="586886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FEA3501-A9F6-40AC-911C-298FAB35A08C}" type="TxLink">
                  <a:rPr lang="en-US" sz="1400" b="0" i="0" u="none" strike="noStrike">
                    <a:solidFill>
                      <a:srgbClr val="0050A0"/>
                    </a:solidFill>
                    <a:latin typeface="Calibri"/>
                    <a:cs typeface="Calibri"/>
                  </a:rPr>
                  <a:pPr/>
                  <a:t>ZZZ_land_H1</a:t>
                </a:fld>
                <a:endParaRPr lang="nl-NL" sz="1100" i="0">
                  <a:solidFill>
                    <a:srgbClr val="0050A0"/>
                  </a:solidFill>
                </a:endParaRPr>
              </a:p>
            </xdr:txBody>
          </xdr:sp>
        </xdr:grpSp>
        <xdr:grpSp>
          <xdr:nvGrpSpPr>
            <xdr:cNvPr id="25" name="Groep 7">
              <a:extLst>
                <a:ext uri="{FF2B5EF4-FFF2-40B4-BE49-F238E27FC236}">
                  <a16:creationId xmlns:a16="http://schemas.microsoft.com/office/drawing/2014/main" id="{00000000-0008-0000-0500-000019000000}"/>
                </a:ext>
              </a:extLst>
            </xdr:cNvPr>
            <xdr:cNvGrpSpPr/>
          </xdr:nvGrpSpPr>
          <xdr:grpSpPr>
            <a:xfrm>
              <a:off x="4642216" y="10471091"/>
              <a:ext cx="1315320" cy="931533"/>
              <a:chOff x="4321846" y="10785231"/>
              <a:chExt cx="1225039" cy="967848"/>
            </a:xfrm>
          </xdr:grpSpPr>
          <xdr:sp macro="" textlink="$M$59">
            <xdr:nvSpPr>
              <xdr:cNvPr id="84" name="74 - land">
                <a:extLst>
                  <a:ext uri="{FF2B5EF4-FFF2-40B4-BE49-F238E27FC236}">
                    <a16:creationId xmlns:a16="http://schemas.microsoft.com/office/drawing/2014/main" id="{00000000-0008-0000-0500-000054000000}"/>
                  </a:ext>
                </a:extLst>
              </xdr:cNvPr>
              <xdr:cNvSpPr txBox="1"/>
            </xdr:nvSpPr>
            <xdr:spPr>
              <a:xfrm>
                <a:off x="432184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19AB224-1835-432C-A4CD-0921276C5C63}" type="TxLink">
                  <a:rPr lang="en-US" sz="1400" b="0" i="0" u="none" strike="noStrike">
                    <a:solidFill>
                      <a:srgbClr val="0050A0"/>
                    </a:solidFill>
                    <a:latin typeface="Calibri"/>
                    <a:cs typeface="Calibri"/>
                  </a:rPr>
                  <a:pPr/>
                  <a:t>Tsjechië</a:t>
                </a:fld>
                <a:endParaRPr lang="nl-NL" sz="1100" i="0">
                  <a:solidFill>
                    <a:srgbClr val="0050A0"/>
                  </a:solidFill>
                </a:endParaRPr>
              </a:p>
            </xdr:txBody>
          </xdr:sp>
          <xdr:sp macro="" textlink="$M$58">
            <xdr:nvSpPr>
              <xdr:cNvPr id="83" name="73 - land">
                <a:extLst>
                  <a:ext uri="{FF2B5EF4-FFF2-40B4-BE49-F238E27FC236}">
                    <a16:creationId xmlns:a16="http://schemas.microsoft.com/office/drawing/2014/main" id="{00000000-0008-0000-0500-000053000000}"/>
                  </a:ext>
                </a:extLst>
              </xdr:cNvPr>
              <xdr:cNvSpPr txBox="1"/>
            </xdr:nvSpPr>
            <xdr:spPr>
              <a:xfrm>
                <a:off x="432288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6F788B0-19B9-43BB-ACB3-EBF5C5311CFE}" type="TxLink">
                  <a:rPr lang="en-US" sz="1400" b="0" i="0" u="none" strike="noStrike">
                    <a:solidFill>
                      <a:srgbClr val="0050A0"/>
                    </a:solidFill>
                    <a:latin typeface="Calibri"/>
                    <a:cs typeface="Calibri"/>
                  </a:rPr>
                  <a:pPr/>
                  <a:t>Portugal</a:t>
                </a:fld>
                <a:endParaRPr lang="nl-NL" sz="1100" i="0">
                  <a:solidFill>
                    <a:srgbClr val="0050A0"/>
                  </a:solidFill>
                </a:endParaRPr>
              </a:p>
            </xdr:txBody>
          </xdr:sp>
          <xdr:sp macro="" textlink="$M$57">
            <xdr:nvSpPr>
              <xdr:cNvPr id="82" name="72 - land">
                <a:extLst>
                  <a:ext uri="{FF2B5EF4-FFF2-40B4-BE49-F238E27FC236}">
                    <a16:creationId xmlns:a16="http://schemas.microsoft.com/office/drawing/2014/main" id="{00000000-0008-0000-0500-000052000000}"/>
                  </a:ext>
                </a:extLst>
              </xdr:cNvPr>
              <xdr:cNvSpPr txBox="1"/>
            </xdr:nvSpPr>
            <xdr:spPr>
              <a:xfrm>
                <a:off x="432288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13ACEE4-0E2C-42BD-A43C-2C0952E0A2A8}" type="TxLink">
                  <a:rPr lang="en-US" sz="1400" b="0" i="0" u="none" strike="noStrike">
                    <a:solidFill>
                      <a:srgbClr val="0050A0"/>
                    </a:solidFill>
                    <a:latin typeface="Calibri"/>
                    <a:cs typeface="Calibri"/>
                  </a:rPr>
                  <a:pPr/>
                  <a:t>Georgië</a:t>
                </a:fld>
                <a:endParaRPr lang="nl-NL" sz="1100" i="0">
                  <a:solidFill>
                    <a:srgbClr val="0050A0"/>
                  </a:solidFill>
                </a:endParaRPr>
              </a:p>
            </xdr:txBody>
          </xdr:sp>
          <xdr:sp macro="" textlink="$M$56">
            <xdr:nvSpPr>
              <xdr:cNvPr id="81" name="71 - land">
                <a:extLst>
                  <a:ext uri="{FF2B5EF4-FFF2-40B4-BE49-F238E27FC236}">
                    <a16:creationId xmlns:a16="http://schemas.microsoft.com/office/drawing/2014/main" id="{00000000-0008-0000-0500-000051000000}"/>
                  </a:ext>
                </a:extLst>
              </xdr:cNvPr>
              <xdr:cNvSpPr txBox="1"/>
            </xdr:nvSpPr>
            <xdr:spPr>
              <a:xfrm>
                <a:off x="432288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1E4BD-1AF0-4CAE-B62D-2F058995DC53}" type="TxLink">
                  <a:rPr lang="en-US" sz="1400" b="0" i="0" u="none" strike="noStrike">
                    <a:solidFill>
                      <a:srgbClr val="0050A0"/>
                    </a:solidFill>
                    <a:latin typeface="Calibri"/>
                    <a:cs typeface="Calibri"/>
                  </a:rPr>
                  <a:pPr/>
                  <a:t>Turkije</a:t>
                </a:fld>
                <a:endParaRPr lang="nl-NL" sz="1100" i="0">
                  <a:solidFill>
                    <a:srgbClr val="0050A0"/>
                  </a:solidFill>
                </a:endParaRPr>
              </a:p>
            </xdr:txBody>
          </xdr:sp>
        </xdr:grpSp>
        <xdr:grpSp>
          <xdr:nvGrpSpPr>
            <xdr:cNvPr id="24" name="Groep 6">
              <a:extLst>
                <a:ext uri="{FF2B5EF4-FFF2-40B4-BE49-F238E27FC236}">
                  <a16:creationId xmlns:a16="http://schemas.microsoft.com/office/drawing/2014/main" id="{00000000-0008-0000-0500-000018000000}"/>
                </a:ext>
              </a:extLst>
            </xdr:cNvPr>
            <xdr:cNvGrpSpPr/>
          </xdr:nvGrpSpPr>
          <xdr:grpSpPr>
            <a:xfrm>
              <a:off x="2982300" y="10471090"/>
              <a:ext cx="1315318" cy="931531"/>
              <a:chOff x="2775866" y="10785231"/>
              <a:chExt cx="1225038" cy="967846"/>
            </a:xfrm>
          </xdr:grpSpPr>
          <xdr:sp macro="" textlink="$J$59">
            <xdr:nvSpPr>
              <xdr:cNvPr id="80" name="64 - land">
                <a:extLst>
                  <a:ext uri="{FF2B5EF4-FFF2-40B4-BE49-F238E27FC236}">
                    <a16:creationId xmlns:a16="http://schemas.microsoft.com/office/drawing/2014/main" id="{00000000-0008-0000-0500-000050000000}"/>
                  </a:ext>
                </a:extLst>
              </xdr:cNvPr>
              <xdr:cNvSpPr txBox="1"/>
            </xdr:nvSpPr>
            <xdr:spPr>
              <a:xfrm>
                <a:off x="2775866" y="1151059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66D19D1-154D-47BB-A65C-3D9BBB825B15}" type="TxLink">
                  <a:rPr lang="en-US" sz="1400" b="0" i="0" u="none" strike="noStrike">
                    <a:solidFill>
                      <a:srgbClr val="0050A0"/>
                    </a:solidFill>
                    <a:latin typeface="Calibri"/>
                    <a:cs typeface="Calibri"/>
                  </a:rPr>
                  <a:pPr/>
                  <a:t>Oekraïne</a:t>
                </a:fld>
                <a:endParaRPr lang="nl-NL" sz="1100" i="0">
                  <a:solidFill>
                    <a:srgbClr val="0050A0"/>
                  </a:solidFill>
                </a:endParaRPr>
              </a:p>
            </xdr:txBody>
          </xdr:sp>
          <xdr:sp macro="" textlink="$J$58">
            <xdr:nvSpPr>
              <xdr:cNvPr id="78" name="63 - land">
                <a:extLst>
                  <a:ext uri="{FF2B5EF4-FFF2-40B4-BE49-F238E27FC236}">
                    <a16:creationId xmlns:a16="http://schemas.microsoft.com/office/drawing/2014/main" id="{00000000-0008-0000-0500-00004E000000}"/>
                  </a:ext>
                </a:extLst>
              </xdr:cNvPr>
              <xdr:cNvSpPr txBox="1"/>
            </xdr:nvSpPr>
            <xdr:spPr>
              <a:xfrm>
                <a:off x="2776904"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AE9E35-F6F4-4183-B572-1FF17903B1A8}" type="TxLink">
                  <a:rPr lang="en-US" sz="1400" b="0" i="0" u="none" strike="noStrike">
                    <a:solidFill>
                      <a:srgbClr val="0050A0"/>
                    </a:solidFill>
                    <a:latin typeface="Calibri"/>
                    <a:cs typeface="Calibri"/>
                  </a:rPr>
                  <a:pPr/>
                  <a:t>Roemenië</a:t>
                </a:fld>
                <a:endParaRPr lang="nl-NL" sz="1100" i="0">
                  <a:solidFill>
                    <a:srgbClr val="0050A0"/>
                  </a:solidFill>
                </a:endParaRPr>
              </a:p>
            </xdr:txBody>
          </xdr:sp>
          <xdr:sp macro="" textlink="$J$57">
            <xdr:nvSpPr>
              <xdr:cNvPr id="77" name="62 - land">
                <a:extLst>
                  <a:ext uri="{FF2B5EF4-FFF2-40B4-BE49-F238E27FC236}">
                    <a16:creationId xmlns:a16="http://schemas.microsoft.com/office/drawing/2014/main" id="{00000000-0008-0000-0500-00004D000000}"/>
                  </a:ext>
                </a:extLst>
              </xdr:cNvPr>
              <xdr:cNvSpPr txBox="1"/>
            </xdr:nvSpPr>
            <xdr:spPr>
              <a:xfrm>
                <a:off x="2776904"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06449C1B-6F57-4A96-AC63-0ABE895DFD14}" type="TxLink">
                  <a:rPr lang="en-US" sz="1400" b="0" i="0" u="none" strike="noStrike">
                    <a:solidFill>
                      <a:srgbClr val="0050A0"/>
                    </a:solidFill>
                    <a:latin typeface="Calibri"/>
                    <a:cs typeface="Calibri"/>
                  </a:rPr>
                  <a:pPr/>
                  <a:t>Slowakije</a:t>
                </a:fld>
                <a:endParaRPr lang="nl-NL" sz="1100" i="0">
                  <a:solidFill>
                    <a:srgbClr val="0050A0"/>
                  </a:solidFill>
                </a:endParaRPr>
              </a:p>
            </xdr:txBody>
          </xdr:sp>
          <xdr:sp macro="" textlink="$J$56">
            <xdr:nvSpPr>
              <xdr:cNvPr id="75" name="61 - land">
                <a:extLst>
                  <a:ext uri="{FF2B5EF4-FFF2-40B4-BE49-F238E27FC236}">
                    <a16:creationId xmlns:a16="http://schemas.microsoft.com/office/drawing/2014/main" id="{00000000-0008-0000-0500-00004B000000}"/>
                  </a:ext>
                </a:extLst>
              </xdr:cNvPr>
              <xdr:cNvSpPr txBox="1"/>
            </xdr:nvSpPr>
            <xdr:spPr>
              <a:xfrm>
                <a:off x="2776904"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0F320DE-60F5-4765-97F2-5A7265D8E790}" type="TxLink">
                  <a:rPr lang="en-US" sz="1400" b="0" i="0" u="none" strike="noStrike">
                    <a:solidFill>
                      <a:srgbClr val="0050A0"/>
                    </a:solidFill>
                    <a:latin typeface="Calibri"/>
                    <a:cs typeface="Calibri"/>
                  </a:rPr>
                  <a:pPr/>
                  <a:t>België</a:t>
                </a:fld>
                <a:endParaRPr lang="nl-NL" sz="1100" i="0">
                  <a:solidFill>
                    <a:srgbClr val="0050A0"/>
                  </a:solidFill>
                </a:endParaRPr>
              </a:p>
            </xdr:txBody>
          </xdr:sp>
        </xdr:grpSp>
        <xdr:grpSp>
          <xdr:nvGrpSpPr>
            <xdr:cNvPr id="22" name="Groep 5">
              <a:extLst>
                <a:ext uri="{FF2B5EF4-FFF2-40B4-BE49-F238E27FC236}">
                  <a16:creationId xmlns:a16="http://schemas.microsoft.com/office/drawing/2014/main" id="{00000000-0008-0000-0500-000016000000}"/>
                </a:ext>
              </a:extLst>
            </xdr:cNvPr>
            <xdr:cNvGrpSpPr/>
          </xdr:nvGrpSpPr>
          <xdr:grpSpPr>
            <a:xfrm>
              <a:off x="1322387" y="10471091"/>
              <a:ext cx="1315320" cy="931533"/>
              <a:chOff x="1229884" y="10785231"/>
              <a:chExt cx="1225039" cy="967848"/>
            </a:xfrm>
          </xdr:grpSpPr>
          <xdr:sp macro="" textlink="$G$59">
            <xdr:nvSpPr>
              <xdr:cNvPr id="74" name="54 - land">
                <a:extLst>
                  <a:ext uri="{FF2B5EF4-FFF2-40B4-BE49-F238E27FC236}">
                    <a16:creationId xmlns:a16="http://schemas.microsoft.com/office/drawing/2014/main" id="{00000000-0008-0000-0500-00004A000000}"/>
                  </a:ext>
                </a:extLst>
              </xdr:cNvPr>
              <xdr:cNvSpPr txBox="1"/>
            </xdr:nvSpPr>
            <xdr:spPr>
              <a:xfrm>
                <a:off x="1229884"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D9E5FF-14F3-4BA6-8F81-143FFAF2EAAF}" type="TxLink">
                  <a:rPr lang="en-US" sz="1400" b="0" i="0" u="none" strike="noStrike">
                    <a:solidFill>
                      <a:srgbClr val="0050A0"/>
                    </a:solidFill>
                    <a:latin typeface="Calibri"/>
                    <a:cs typeface="Calibri"/>
                  </a:rPr>
                  <a:pPr/>
                  <a:t>Frankrijk</a:t>
                </a:fld>
                <a:endParaRPr lang="nl-NL" sz="1100" i="0">
                  <a:solidFill>
                    <a:srgbClr val="0050A0"/>
                  </a:solidFill>
                </a:endParaRPr>
              </a:p>
            </xdr:txBody>
          </xdr:sp>
          <xdr:sp macro="" textlink="$G$58">
            <xdr:nvSpPr>
              <xdr:cNvPr id="73" name="53 - land">
                <a:extLst>
                  <a:ext uri="{FF2B5EF4-FFF2-40B4-BE49-F238E27FC236}">
                    <a16:creationId xmlns:a16="http://schemas.microsoft.com/office/drawing/2014/main" id="{00000000-0008-0000-0500-000049000000}"/>
                  </a:ext>
                </a:extLst>
              </xdr:cNvPr>
              <xdr:cNvSpPr txBox="1"/>
            </xdr:nvSpPr>
            <xdr:spPr>
              <a:xfrm>
                <a:off x="1230923"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222264-E9C9-4A97-8BDB-98C0B4CBD729}" type="TxLink">
                  <a:rPr lang="en-US" sz="1400" b="0" i="0" u="none" strike="noStrike">
                    <a:solidFill>
                      <a:srgbClr val="0050A0"/>
                    </a:solidFill>
                    <a:latin typeface="Calibri"/>
                    <a:cs typeface="Calibri"/>
                  </a:rPr>
                  <a:pPr/>
                  <a:t>Oostenrijk</a:t>
                </a:fld>
                <a:endParaRPr lang="nl-NL" sz="1100" i="0">
                  <a:solidFill>
                    <a:srgbClr val="0050A0"/>
                  </a:solidFill>
                </a:endParaRPr>
              </a:p>
            </xdr:txBody>
          </xdr:sp>
          <xdr:sp macro="" textlink="$G$57">
            <xdr:nvSpPr>
              <xdr:cNvPr id="72" name="52 - land">
                <a:extLst>
                  <a:ext uri="{FF2B5EF4-FFF2-40B4-BE49-F238E27FC236}">
                    <a16:creationId xmlns:a16="http://schemas.microsoft.com/office/drawing/2014/main" id="{00000000-0008-0000-0500-000048000000}"/>
                  </a:ext>
                </a:extLst>
              </xdr:cNvPr>
              <xdr:cNvSpPr txBox="1"/>
            </xdr:nvSpPr>
            <xdr:spPr>
              <a:xfrm>
                <a:off x="1230923"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5DB79-AA49-4845-8C6A-EF0B53143C06}" type="TxLink">
                  <a:rPr lang="en-US" sz="1400" b="0" i="0" u="none" strike="noStrike">
                    <a:solidFill>
                      <a:srgbClr val="0050A0"/>
                    </a:solidFill>
                    <a:latin typeface="Calibri"/>
                    <a:cs typeface="Calibri"/>
                  </a:rPr>
                  <a:pPr/>
                  <a:t>Nederland</a:t>
                </a:fld>
                <a:endParaRPr lang="nl-NL" sz="1100" i="0">
                  <a:solidFill>
                    <a:srgbClr val="0050A0"/>
                  </a:solidFill>
                </a:endParaRPr>
              </a:p>
            </xdr:txBody>
          </xdr:sp>
          <xdr:sp macro="" textlink="$G$56">
            <xdr:nvSpPr>
              <xdr:cNvPr id="71" name="51 - land">
                <a:extLst>
                  <a:ext uri="{FF2B5EF4-FFF2-40B4-BE49-F238E27FC236}">
                    <a16:creationId xmlns:a16="http://schemas.microsoft.com/office/drawing/2014/main" id="{00000000-0008-0000-0500-000047000000}"/>
                  </a:ext>
                </a:extLst>
              </xdr:cNvPr>
              <xdr:cNvSpPr txBox="1"/>
            </xdr:nvSpPr>
            <xdr:spPr>
              <a:xfrm>
                <a:off x="1230923"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912311-7533-44E5-99ED-14C09B5C1C4C}" type="TxLink">
                  <a:rPr lang="en-US" sz="1400" b="0" i="0" u="none" strike="noStrike">
                    <a:solidFill>
                      <a:srgbClr val="0050A0"/>
                    </a:solidFill>
                    <a:latin typeface="Calibri"/>
                    <a:cs typeface="Calibri"/>
                  </a:rPr>
                  <a:pPr/>
                  <a:t>Polen</a:t>
                </a:fld>
                <a:endParaRPr lang="nl-NL" sz="1100" i="0">
                  <a:solidFill>
                    <a:srgbClr val="0050A0"/>
                  </a:solidFill>
                </a:endParaRPr>
              </a:p>
            </xdr:txBody>
          </xdr:sp>
        </xdr:grpSp>
        <xdr:grpSp>
          <xdr:nvGrpSpPr>
            <xdr:cNvPr id="21" name="Groep 4" hidden="1">
              <a:extLst>
                <a:ext uri="{FF2B5EF4-FFF2-40B4-BE49-F238E27FC236}">
                  <a16:creationId xmlns:a16="http://schemas.microsoft.com/office/drawing/2014/main" id="{00000000-0008-0000-0500-000015000000}"/>
                </a:ext>
              </a:extLst>
            </xdr:cNvPr>
            <xdr:cNvGrpSpPr/>
          </xdr:nvGrpSpPr>
          <xdr:grpSpPr>
            <a:xfrm>
              <a:off x="6302129" y="9124158"/>
              <a:ext cx="1315320" cy="931533"/>
              <a:chOff x="5867826" y="9385788"/>
              <a:chExt cx="1225039" cy="967848"/>
            </a:xfrm>
          </xdr:grpSpPr>
          <xdr:sp macro="" textlink="$P$53">
            <xdr:nvSpPr>
              <xdr:cNvPr id="70" name="44 - land">
                <a:extLst>
                  <a:ext uri="{FF2B5EF4-FFF2-40B4-BE49-F238E27FC236}">
                    <a16:creationId xmlns:a16="http://schemas.microsoft.com/office/drawing/2014/main" id="{00000000-0008-0000-0500-000046000000}"/>
                  </a:ext>
                </a:extLst>
              </xdr:cNvPr>
              <xdr:cNvSpPr txBox="1"/>
            </xdr:nvSpPr>
            <xdr:spPr>
              <a:xfrm>
                <a:off x="586782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6672E1-7ADF-43ED-9FE6-7E09994FA866}" type="TxLink">
                  <a:rPr lang="en-US" sz="1400" b="0" i="0" u="none" strike="noStrike">
                    <a:solidFill>
                      <a:srgbClr val="0050A0"/>
                    </a:solidFill>
                    <a:latin typeface="Calibri"/>
                    <a:cs typeface="Calibri"/>
                  </a:rPr>
                  <a:pPr/>
                  <a:t>ZZZ_land_G4</a:t>
                </a:fld>
                <a:endParaRPr lang="nl-NL" sz="1100" i="0">
                  <a:solidFill>
                    <a:srgbClr val="0050A0"/>
                  </a:solidFill>
                </a:endParaRPr>
              </a:p>
            </xdr:txBody>
          </xdr:sp>
          <xdr:sp macro="" textlink="$P$52">
            <xdr:nvSpPr>
              <xdr:cNvPr id="69" name="43 - land">
                <a:extLst>
                  <a:ext uri="{FF2B5EF4-FFF2-40B4-BE49-F238E27FC236}">
                    <a16:creationId xmlns:a16="http://schemas.microsoft.com/office/drawing/2014/main" id="{00000000-0008-0000-0500-000045000000}"/>
                  </a:ext>
                </a:extLst>
              </xdr:cNvPr>
              <xdr:cNvSpPr txBox="1"/>
            </xdr:nvSpPr>
            <xdr:spPr>
              <a:xfrm>
                <a:off x="586886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7DCC577-7029-4D46-85AD-A3AB5142BC4B}" type="TxLink">
                  <a:rPr lang="en-US" sz="1400" b="0" i="0" u="none" strike="noStrike">
                    <a:solidFill>
                      <a:srgbClr val="0050A0"/>
                    </a:solidFill>
                    <a:latin typeface="Calibri"/>
                    <a:cs typeface="Calibri"/>
                  </a:rPr>
                  <a:pPr/>
                  <a:t>ZZZ_land_G3</a:t>
                </a:fld>
                <a:endParaRPr lang="nl-NL" sz="1100" i="0">
                  <a:solidFill>
                    <a:srgbClr val="0050A0"/>
                  </a:solidFill>
                </a:endParaRPr>
              </a:p>
            </xdr:txBody>
          </xdr:sp>
          <xdr:sp macro="" textlink="$P$51">
            <xdr:nvSpPr>
              <xdr:cNvPr id="68" name="42 - land">
                <a:extLst>
                  <a:ext uri="{FF2B5EF4-FFF2-40B4-BE49-F238E27FC236}">
                    <a16:creationId xmlns:a16="http://schemas.microsoft.com/office/drawing/2014/main" id="{00000000-0008-0000-0500-000044000000}"/>
                  </a:ext>
                </a:extLst>
              </xdr:cNvPr>
              <xdr:cNvSpPr txBox="1"/>
            </xdr:nvSpPr>
            <xdr:spPr>
              <a:xfrm>
                <a:off x="586886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FA2CE55-4733-4457-AFDA-6E5CC028387A}" type="TxLink">
                  <a:rPr lang="en-US" sz="1400" b="0" i="0" u="none" strike="noStrike">
                    <a:solidFill>
                      <a:srgbClr val="0050A0"/>
                    </a:solidFill>
                    <a:latin typeface="Calibri"/>
                    <a:cs typeface="Calibri"/>
                  </a:rPr>
                  <a:pPr/>
                  <a:t>ZZZ_land_G2</a:t>
                </a:fld>
                <a:endParaRPr lang="nl-NL" sz="1100" i="0">
                  <a:solidFill>
                    <a:srgbClr val="0050A0"/>
                  </a:solidFill>
                </a:endParaRPr>
              </a:p>
            </xdr:txBody>
          </xdr:sp>
          <xdr:sp macro="" textlink="$P$50">
            <xdr:nvSpPr>
              <xdr:cNvPr id="67" name="41 - land">
                <a:extLst>
                  <a:ext uri="{FF2B5EF4-FFF2-40B4-BE49-F238E27FC236}">
                    <a16:creationId xmlns:a16="http://schemas.microsoft.com/office/drawing/2014/main" id="{00000000-0008-0000-0500-000043000000}"/>
                  </a:ext>
                </a:extLst>
              </xdr:cNvPr>
              <xdr:cNvSpPr txBox="1"/>
            </xdr:nvSpPr>
            <xdr:spPr>
              <a:xfrm>
                <a:off x="586886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72630FD5-3D83-4939-AD31-C7130029DBD1}" type="TxLink">
                  <a:rPr lang="en-US" sz="1400" b="0" i="0" u="none" strike="noStrike">
                    <a:solidFill>
                      <a:srgbClr val="0050A0"/>
                    </a:solidFill>
                    <a:latin typeface="Calibri"/>
                    <a:cs typeface="Calibri"/>
                  </a:rPr>
                  <a:pPr/>
                  <a:t>ZZZ_land_G1</a:t>
                </a:fld>
                <a:endParaRPr lang="nl-NL" sz="1100" i="0">
                  <a:solidFill>
                    <a:srgbClr val="0050A0"/>
                  </a:solidFill>
                </a:endParaRPr>
              </a:p>
            </xdr:txBody>
          </xdr:sp>
        </xdr:grpSp>
        <xdr:grpSp>
          <xdr:nvGrpSpPr>
            <xdr:cNvPr id="20" name="Groep 3">
              <a:extLst>
                <a:ext uri="{FF2B5EF4-FFF2-40B4-BE49-F238E27FC236}">
                  <a16:creationId xmlns:a16="http://schemas.microsoft.com/office/drawing/2014/main" id="{00000000-0008-0000-0500-000014000000}"/>
                </a:ext>
              </a:extLst>
            </xdr:cNvPr>
            <xdr:cNvGrpSpPr/>
          </xdr:nvGrpSpPr>
          <xdr:grpSpPr>
            <a:xfrm>
              <a:off x="4642216" y="9124158"/>
              <a:ext cx="1315320" cy="931533"/>
              <a:chOff x="4321846" y="9385788"/>
              <a:chExt cx="1225039" cy="967848"/>
            </a:xfrm>
          </xdr:grpSpPr>
          <xdr:sp macro="" textlink="$M$53">
            <xdr:nvSpPr>
              <xdr:cNvPr id="66" name="34 - land">
                <a:extLst>
                  <a:ext uri="{FF2B5EF4-FFF2-40B4-BE49-F238E27FC236}">
                    <a16:creationId xmlns:a16="http://schemas.microsoft.com/office/drawing/2014/main" id="{00000000-0008-0000-0500-000042000000}"/>
                  </a:ext>
                </a:extLst>
              </xdr:cNvPr>
              <xdr:cNvSpPr txBox="1"/>
            </xdr:nvSpPr>
            <xdr:spPr>
              <a:xfrm>
                <a:off x="432184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72AFFF9-90E4-4989-BDC8-6D32F4782182}" type="TxLink">
                  <a:rPr lang="en-US" sz="1400" b="0" i="0" u="none" strike="noStrike">
                    <a:solidFill>
                      <a:srgbClr val="0050A0"/>
                    </a:solidFill>
                    <a:latin typeface="Calibri"/>
                    <a:cs typeface="Calibri"/>
                  </a:rPr>
                  <a:pPr/>
                  <a:t>Engeland</a:t>
                </a:fld>
                <a:endParaRPr lang="nl-NL" sz="1100" i="0">
                  <a:solidFill>
                    <a:srgbClr val="0050A0"/>
                  </a:solidFill>
                </a:endParaRPr>
              </a:p>
            </xdr:txBody>
          </xdr:sp>
          <xdr:sp macro="" textlink="$M$52">
            <xdr:nvSpPr>
              <xdr:cNvPr id="65" name="33 - land">
                <a:extLst>
                  <a:ext uri="{FF2B5EF4-FFF2-40B4-BE49-F238E27FC236}">
                    <a16:creationId xmlns:a16="http://schemas.microsoft.com/office/drawing/2014/main" id="{00000000-0008-0000-0500-000041000000}"/>
                  </a:ext>
                </a:extLst>
              </xdr:cNvPr>
              <xdr:cNvSpPr txBox="1"/>
            </xdr:nvSpPr>
            <xdr:spPr>
              <a:xfrm>
                <a:off x="432288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8E47707-FE8C-4915-A7EC-46B926FADC3E}" type="TxLink">
                  <a:rPr lang="en-US" sz="1400" b="0" i="0" u="none" strike="noStrike">
                    <a:solidFill>
                      <a:srgbClr val="0050A0"/>
                    </a:solidFill>
                    <a:latin typeface="Calibri"/>
                    <a:cs typeface="Calibri"/>
                  </a:rPr>
                  <a:pPr/>
                  <a:t>Servië</a:t>
                </a:fld>
                <a:endParaRPr lang="nl-NL" sz="1100" i="0">
                  <a:solidFill>
                    <a:srgbClr val="0050A0"/>
                  </a:solidFill>
                </a:endParaRPr>
              </a:p>
            </xdr:txBody>
          </xdr:sp>
          <xdr:sp macro="" textlink="$M$51">
            <xdr:nvSpPr>
              <xdr:cNvPr id="64" name="32 - land">
                <a:extLst>
                  <a:ext uri="{FF2B5EF4-FFF2-40B4-BE49-F238E27FC236}">
                    <a16:creationId xmlns:a16="http://schemas.microsoft.com/office/drawing/2014/main" id="{00000000-0008-0000-0500-000040000000}"/>
                  </a:ext>
                </a:extLst>
              </xdr:cNvPr>
              <xdr:cNvSpPr txBox="1"/>
            </xdr:nvSpPr>
            <xdr:spPr>
              <a:xfrm>
                <a:off x="432288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6014EB84-2F28-4171-872E-3764C456E7EF}" type="TxLink">
                  <a:rPr lang="en-US" sz="1400" b="0" i="0" u="none" strike="noStrike">
                    <a:solidFill>
                      <a:srgbClr val="0050A0"/>
                    </a:solidFill>
                    <a:latin typeface="Calibri"/>
                    <a:cs typeface="Calibri"/>
                  </a:rPr>
                  <a:pPr/>
                  <a:t>Denemarken</a:t>
                </a:fld>
                <a:endParaRPr lang="nl-NL" sz="1100" i="0">
                  <a:solidFill>
                    <a:srgbClr val="0050A0"/>
                  </a:solidFill>
                </a:endParaRPr>
              </a:p>
            </xdr:txBody>
          </xdr:sp>
          <xdr:sp macro="" textlink="$M$50">
            <xdr:nvSpPr>
              <xdr:cNvPr id="63" name="31 - land">
                <a:extLst>
                  <a:ext uri="{FF2B5EF4-FFF2-40B4-BE49-F238E27FC236}">
                    <a16:creationId xmlns:a16="http://schemas.microsoft.com/office/drawing/2014/main" id="{00000000-0008-0000-0500-00003F000000}"/>
                  </a:ext>
                </a:extLst>
              </xdr:cNvPr>
              <xdr:cNvSpPr txBox="1"/>
            </xdr:nvSpPr>
            <xdr:spPr>
              <a:xfrm>
                <a:off x="432288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F18BECD-93F8-4AB3-AA4F-23F2D15F3E67}" type="TxLink">
                  <a:rPr lang="en-US" sz="1400" b="0" i="0" u="none" strike="noStrike">
                    <a:solidFill>
                      <a:srgbClr val="0050A0"/>
                    </a:solidFill>
                    <a:latin typeface="Calibri"/>
                    <a:cs typeface="Calibri"/>
                  </a:rPr>
                  <a:pPr/>
                  <a:t>Slovenië</a:t>
                </a:fld>
                <a:endParaRPr lang="nl-NL" sz="1100" i="0">
                  <a:solidFill>
                    <a:srgbClr val="0050A0"/>
                  </a:solidFill>
                </a:endParaRPr>
              </a:p>
            </xdr:txBody>
          </xdr:sp>
        </xdr:grpSp>
        <xdr:grpSp>
          <xdr:nvGrpSpPr>
            <xdr:cNvPr id="19" name="Groep 2">
              <a:extLst>
                <a:ext uri="{FF2B5EF4-FFF2-40B4-BE49-F238E27FC236}">
                  <a16:creationId xmlns:a16="http://schemas.microsoft.com/office/drawing/2014/main" id="{00000000-0008-0000-0500-000013000000}"/>
                </a:ext>
              </a:extLst>
            </xdr:cNvPr>
            <xdr:cNvGrpSpPr/>
          </xdr:nvGrpSpPr>
          <xdr:grpSpPr>
            <a:xfrm>
              <a:off x="2982301" y="9124158"/>
              <a:ext cx="1315320" cy="931533"/>
              <a:chOff x="2775865" y="9385788"/>
              <a:chExt cx="1225039" cy="967848"/>
            </a:xfrm>
          </xdr:grpSpPr>
          <xdr:sp macro="" textlink="$J$53">
            <xdr:nvSpPr>
              <xdr:cNvPr id="62" name="24 - land">
                <a:extLst>
                  <a:ext uri="{FF2B5EF4-FFF2-40B4-BE49-F238E27FC236}">
                    <a16:creationId xmlns:a16="http://schemas.microsoft.com/office/drawing/2014/main" id="{00000000-0008-0000-0500-00003E000000}"/>
                  </a:ext>
                </a:extLst>
              </xdr:cNvPr>
              <xdr:cNvSpPr txBox="1"/>
            </xdr:nvSpPr>
            <xdr:spPr>
              <a:xfrm>
                <a:off x="2775865"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150D4F8-EFA2-406D-AB18-22338433A0B1}" type="TxLink">
                  <a:rPr lang="en-US" sz="1400" b="0" i="0" u="none" strike="noStrike">
                    <a:solidFill>
                      <a:srgbClr val="0050A0"/>
                    </a:solidFill>
                    <a:latin typeface="Calibri"/>
                    <a:cs typeface="Calibri"/>
                  </a:rPr>
                  <a:pPr/>
                  <a:t>Albanië</a:t>
                </a:fld>
                <a:endParaRPr lang="nl-NL" sz="1100" i="0">
                  <a:solidFill>
                    <a:srgbClr val="0050A0"/>
                  </a:solidFill>
                </a:endParaRPr>
              </a:p>
            </xdr:txBody>
          </xdr:sp>
          <xdr:sp macro="" textlink="$J$52">
            <xdr:nvSpPr>
              <xdr:cNvPr id="61" name="23 - land">
                <a:extLst>
                  <a:ext uri="{FF2B5EF4-FFF2-40B4-BE49-F238E27FC236}">
                    <a16:creationId xmlns:a16="http://schemas.microsoft.com/office/drawing/2014/main" id="{00000000-0008-0000-0500-00003D000000}"/>
                  </a:ext>
                </a:extLst>
              </xdr:cNvPr>
              <xdr:cNvSpPr txBox="1"/>
            </xdr:nvSpPr>
            <xdr:spPr>
              <a:xfrm>
                <a:off x="2776904"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615CAA-7EA5-4B24-AE00-BCE16B74BEC8}" type="TxLink">
                  <a:rPr lang="en-US" sz="1400" b="0" i="0" u="none" strike="noStrike">
                    <a:solidFill>
                      <a:srgbClr val="0050A0"/>
                    </a:solidFill>
                    <a:latin typeface="Calibri"/>
                    <a:cs typeface="Calibri"/>
                  </a:rPr>
                  <a:pPr/>
                  <a:t>Italië</a:t>
                </a:fld>
                <a:endParaRPr lang="nl-NL" sz="1100" i="0">
                  <a:solidFill>
                    <a:srgbClr val="0050A0"/>
                  </a:solidFill>
                </a:endParaRPr>
              </a:p>
            </xdr:txBody>
          </xdr:sp>
          <xdr:sp macro="" textlink="$J$51">
            <xdr:nvSpPr>
              <xdr:cNvPr id="60" name="22 - land">
                <a:extLst>
                  <a:ext uri="{FF2B5EF4-FFF2-40B4-BE49-F238E27FC236}">
                    <a16:creationId xmlns:a16="http://schemas.microsoft.com/office/drawing/2014/main" id="{00000000-0008-0000-0500-00003C000000}"/>
                  </a:ext>
                </a:extLst>
              </xdr:cNvPr>
              <xdr:cNvSpPr txBox="1"/>
            </xdr:nvSpPr>
            <xdr:spPr>
              <a:xfrm>
                <a:off x="2776904"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B60F8AD-96FB-4EC6-B7EF-E50C1342CA2F}" type="TxLink">
                  <a:rPr lang="en-US" sz="1400" b="0" i="0" u="none" strike="noStrike">
                    <a:solidFill>
                      <a:srgbClr val="0050A0"/>
                    </a:solidFill>
                    <a:latin typeface="Calibri"/>
                    <a:cs typeface="Calibri"/>
                  </a:rPr>
                  <a:pPr/>
                  <a:t>Kroatië</a:t>
                </a:fld>
                <a:endParaRPr lang="nl-NL" sz="1100" i="0">
                  <a:solidFill>
                    <a:srgbClr val="0050A0"/>
                  </a:solidFill>
                </a:endParaRPr>
              </a:p>
            </xdr:txBody>
          </xdr:sp>
          <xdr:sp macro="" textlink="$J$50">
            <xdr:nvSpPr>
              <xdr:cNvPr id="58" name="21 - land">
                <a:extLst>
                  <a:ext uri="{FF2B5EF4-FFF2-40B4-BE49-F238E27FC236}">
                    <a16:creationId xmlns:a16="http://schemas.microsoft.com/office/drawing/2014/main" id="{00000000-0008-0000-0500-00003A000000}"/>
                  </a:ext>
                </a:extLst>
              </xdr:cNvPr>
              <xdr:cNvSpPr txBox="1"/>
            </xdr:nvSpPr>
            <xdr:spPr>
              <a:xfrm>
                <a:off x="2776904"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72C6AE1-9F1A-4D56-B9F5-C6BCDE24DA10}" type="TxLink">
                  <a:rPr lang="en-US" sz="1400" b="0" i="0" u="none" strike="noStrike">
                    <a:solidFill>
                      <a:srgbClr val="0050A0"/>
                    </a:solidFill>
                    <a:latin typeface="Calibri"/>
                    <a:cs typeface="Calibri"/>
                  </a:rPr>
                  <a:pPr/>
                  <a:t>Spanje</a:t>
                </a:fld>
                <a:endParaRPr lang="nl-NL" sz="1100" i="0">
                  <a:solidFill>
                    <a:srgbClr val="0050A0"/>
                  </a:solidFill>
                </a:endParaRPr>
              </a:p>
            </xdr:txBody>
          </xdr:sp>
        </xdr:grpSp>
        <xdr:grpSp>
          <xdr:nvGrpSpPr>
            <xdr:cNvPr id="18" name="Groep 1">
              <a:extLst>
                <a:ext uri="{FF2B5EF4-FFF2-40B4-BE49-F238E27FC236}">
                  <a16:creationId xmlns:a16="http://schemas.microsoft.com/office/drawing/2014/main" id="{00000000-0008-0000-0500-000012000000}"/>
                </a:ext>
              </a:extLst>
            </xdr:cNvPr>
            <xdr:cNvGrpSpPr/>
          </xdr:nvGrpSpPr>
          <xdr:grpSpPr>
            <a:xfrm>
              <a:off x="1322387" y="9124159"/>
              <a:ext cx="1315320" cy="931530"/>
              <a:chOff x="1229884" y="9385791"/>
              <a:chExt cx="1225039" cy="967845"/>
            </a:xfrm>
          </xdr:grpSpPr>
          <xdr:sp macro="" textlink="$G$53">
            <xdr:nvSpPr>
              <xdr:cNvPr id="57" name="14 - land">
                <a:extLst>
                  <a:ext uri="{FF2B5EF4-FFF2-40B4-BE49-F238E27FC236}">
                    <a16:creationId xmlns:a16="http://schemas.microsoft.com/office/drawing/2014/main" id="{00000000-0008-0000-0500-000039000000}"/>
                  </a:ext>
                </a:extLst>
              </xdr:cNvPr>
              <xdr:cNvSpPr txBox="1"/>
            </xdr:nvSpPr>
            <xdr:spPr>
              <a:xfrm>
                <a:off x="1229884"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9B1CB8-5DD0-44A5-9FBB-926A07EF10A2}" type="TxLink">
                  <a:rPr lang="en-US" sz="1400" b="0" i="0" u="none" strike="noStrike">
                    <a:solidFill>
                      <a:srgbClr val="0050A0"/>
                    </a:solidFill>
                    <a:latin typeface="Calibri"/>
                    <a:cs typeface="Calibri"/>
                  </a:rPr>
                  <a:pPr/>
                  <a:t>Zwitserland</a:t>
                </a:fld>
                <a:endParaRPr lang="nl-NL" sz="1100" i="0">
                  <a:solidFill>
                    <a:srgbClr val="0050A0"/>
                  </a:solidFill>
                </a:endParaRPr>
              </a:p>
            </xdr:txBody>
          </xdr:sp>
          <xdr:sp macro="" textlink="$G$52">
            <xdr:nvSpPr>
              <xdr:cNvPr id="56" name="13 - land">
                <a:extLst>
                  <a:ext uri="{FF2B5EF4-FFF2-40B4-BE49-F238E27FC236}">
                    <a16:creationId xmlns:a16="http://schemas.microsoft.com/office/drawing/2014/main" id="{00000000-0008-0000-0500-000038000000}"/>
                  </a:ext>
                </a:extLst>
              </xdr:cNvPr>
              <xdr:cNvSpPr txBox="1"/>
            </xdr:nvSpPr>
            <xdr:spPr>
              <a:xfrm>
                <a:off x="1230923"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3900AC6-EBD8-4AC2-82D7-C87980CCBE30}" type="TxLink">
                  <a:rPr lang="en-US" sz="1400" b="0" i="0" u="none" strike="noStrike">
                    <a:solidFill>
                      <a:srgbClr val="0050A0"/>
                    </a:solidFill>
                    <a:latin typeface="Calibri"/>
                    <a:cs typeface="Calibri"/>
                  </a:rPr>
                  <a:pPr/>
                  <a:t>Hongarije</a:t>
                </a:fld>
                <a:endParaRPr lang="nl-NL" sz="1100" i="0">
                  <a:solidFill>
                    <a:srgbClr val="0050A0"/>
                  </a:solidFill>
                </a:endParaRPr>
              </a:p>
            </xdr:txBody>
          </xdr:sp>
          <xdr:sp macro="" textlink="$G$51">
            <xdr:nvSpPr>
              <xdr:cNvPr id="55" name="12 - land">
                <a:extLst>
                  <a:ext uri="{FF2B5EF4-FFF2-40B4-BE49-F238E27FC236}">
                    <a16:creationId xmlns:a16="http://schemas.microsoft.com/office/drawing/2014/main" id="{00000000-0008-0000-0500-000037000000}"/>
                  </a:ext>
                </a:extLst>
              </xdr:cNvPr>
              <xdr:cNvSpPr txBox="1"/>
            </xdr:nvSpPr>
            <xdr:spPr>
              <a:xfrm>
                <a:off x="1230923"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0CE0363-9FB9-4B89-96C1-63D5A094CEF5}" type="TxLink">
                  <a:rPr lang="en-US" sz="1400" b="0" i="0" u="none" strike="noStrike">
                    <a:solidFill>
                      <a:srgbClr val="0050A0"/>
                    </a:solidFill>
                    <a:latin typeface="Calibri"/>
                    <a:cs typeface="Calibri"/>
                  </a:rPr>
                  <a:pPr/>
                  <a:t>Schotland</a:t>
                </a:fld>
                <a:endParaRPr lang="nl-NL" sz="1100" i="0">
                  <a:solidFill>
                    <a:srgbClr val="0050A0"/>
                  </a:solidFill>
                </a:endParaRPr>
              </a:p>
            </xdr:txBody>
          </xdr:sp>
          <xdr:sp macro="" textlink="$G$50">
            <xdr:nvSpPr>
              <xdr:cNvPr id="17" name="11 - land">
                <a:extLst>
                  <a:ext uri="{FF2B5EF4-FFF2-40B4-BE49-F238E27FC236}">
                    <a16:creationId xmlns:a16="http://schemas.microsoft.com/office/drawing/2014/main" id="{00000000-0008-0000-0500-000011000000}"/>
                  </a:ext>
                </a:extLst>
              </xdr:cNvPr>
              <xdr:cNvSpPr txBox="1"/>
            </xdr:nvSpPr>
            <xdr:spPr>
              <a:xfrm>
                <a:off x="1230923" y="938579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0F3EB9-88B8-4442-AF49-811C75BE3BF2}" type="TxLink">
                  <a:rPr lang="en-US" sz="1400" b="0" i="0" u="none" strike="noStrike">
                    <a:solidFill>
                      <a:srgbClr val="0050A0"/>
                    </a:solidFill>
                    <a:latin typeface="Calibri"/>
                    <a:cs typeface="Calibri"/>
                  </a:rPr>
                  <a:pPr/>
                  <a:t>Duitsland</a:t>
                </a:fld>
                <a:endParaRPr lang="nl-NL" sz="1100" i="0">
                  <a:solidFill>
                    <a:srgbClr val="0050A0"/>
                  </a:solidFill>
                </a:endParaRPr>
              </a:p>
            </xdr:txBody>
          </xdr:sp>
        </xdr:grpSp>
      </xdr:grpSp>
      <xdr:grpSp>
        <xdr:nvGrpSpPr>
          <xdr:cNvPr id="15" name="Groepsindeling - Groepshoofden">
            <a:extLst>
              <a:ext uri="{FF2B5EF4-FFF2-40B4-BE49-F238E27FC236}">
                <a16:creationId xmlns:a16="http://schemas.microsoft.com/office/drawing/2014/main" id="{00000000-0008-0000-0500-00000F000000}"/>
              </a:ext>
            </a:extLst>
          </xdr:cNvPr>
          <xdr:cNvGrpSpPr/>
        </xdr:nvGrpSpPr>
        <xdr:grpSpPr>
          <a:xfrm>
            <a:off x="1229778" y="9130288"/>
            <a:ext cx="5839647" cy="1626682"/>
            <a:chOff x="1226244" y="9144000"/>
            <a:chExt cx="5846106" cy="1630087"/>
          </a:xfrm>
        </xdr:grpSpPr>
        <xdr:sp macro="" textlink="$P$55">
          <xdr:nvSpPr>
            <xdr:cNvPr id="105" name="Groepshoofd - 8" hidden="1">
              <a:extLst>
                <a:ext uri="{FF2B5EF4-FFF2-40B4-BE49-F238E27FC236}">
                  <a16:creationId xmlns:a16="http://schemas.microsoft.com/office/drawing/2014/main" id="{00000000-0008-0000-0500-000069000000}"/>
                </a:ext>
              </a:extLst>
            </xdr:cNvPr>
            <xdr:cNvSpPr txBox="1"/>
          </xdr:nvSpPr>
          <xdr:spPr>
            <a:xfrm>
              <a:off x="5848350" y="1053465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00AAF1A-4F07-4911-A76F-97B782D12C57}" type="TxLink">
                <a:rPr lang="en-US" sz="1400" b="1" i="0" u="none" strike="noStrike">
                  <a:solidFill>
                    <a:srgbClr val="0050A0"/>
                  </a:solidFill>
                  <a:latin typeface="Calibri"/>
                  <a:cs typeface="Calibri"/>
                </a:rPr>
                <a:pPr/>
                <a:t>Groep H</a:t>
              </a:fld>
              <a:endParaRPr lang="nl-NL" sz="1100" i="0">
                <a:solidFill>
                  <a:srgbClr val="0050A0"/>
                </a:solidFill>
              </a:endParaRPr>
            </a:p>
          </xdr:txBody>
        </xdr:sp>
        <xdr:sp macro="" textlink="$M$55">
          <xdr:nvSpPr>
            <xdr:cNvPr id="104" name="Groepshoofd - 7">
              <a:extLst>
                <a:ext uri="{FF2B5EF4-FFF2-40B4-BE49-F238E27FC236}">
                  <a16:creationId xmlns:a16="http://schemas.microsoft.com/office/drawing/2014/main" id="{00000000-0008-0000-0500-000068000000}"/>
                </a:ext>
              </a:extLst>
            </xdr:cNvPr>
            <xdr:cNvSpPr txBox="1"/>
          </xdr:nvSpPr>
          <xdr:spPr>
            <a:xfrm>
              <a:off x="430530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97E70DE-9A6F-4F9B-8D07-B003F76C6F2F}" type="TxLink">
                <a:rPr lang="en-US" sz="1400" b="1" i="0" u="none" strike="noStrike">
                  <a:solidFill>
                    <a:srgbClr val="0050A0"/>
                  </a:solidFill>
                  <a:latin typeface="Calibri"/>
                  <a:cs typeface="Calibri"/>
                </a:rPr>
                <a:pPr/>
                <a:t>Groep F</a:t>
              </a:fld>
              <a:endParaRPr lang="nl-NL" sz="1100" i="0">
                <a:solidFill>
                  <a:srgbClr val="0050A0"/>
                </a:solidFill>
              </a:endParaRPr>
            </a:p>
          </xdr:txBody>
        </xdr:sp>
        <xdr:sp macro="" textlink="$J$55">
          <xdr:nvSpPr>
            <xdr:cNvPr id="101" name="Groepshoofd - 6">
              <a:extLst>
                <a:ext uri="{FF2B5EF4-FFF2-40B4-BE49-F238E27FC236}">
                  <a16:creationId xmlns:a16="http://schemas.microsoft.com/office/drawing/2014/main" id="{00000000-0008-0000-0500-000065000000}"/>
                </a:ext>
              </a:extLst>
            </xdr:cNvPr>
            <xdr:cNvSpPr txBox="1"/>
          </xdr:nvSpPr>
          <xdr:spPr>
            <a:xfrm>
              <a:off x="276225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E7FE9B3-24DA-4347-A59C-D51803420CAA}" type="TxLink">
                <a:rPr lang="en-US" sz="1400" b="1" i="0" u="none" strike="noStrike">
                  <a:solidFill>
                    <a:srgbClr val="0050A0"/>
                  </a:solidFill>
                  <a:latin typeface="Calibri"/>
                  <a:cs typeface="Calibri"/>
                </a:rPr>
                <a:pPr/>
                <a:t>Groep E</a:t>
              </a:fld>
              <a:endParaRPr lang="nl-NL" sz="1100" i="0">
                <a:solidFill>
                  <a:srgbClr val="0050A0"/>
                </a:solidFill>
              </a:endParaRPr>
            </a:p>
          </xdr:txBody>
        </xdr:sp>
        <xdr:sp macro="" textlink="$G$55">
          <xdr:nvSpPr>
            <xdr:cNvPr id="100" name="Groepshoofd - 5">
              <a:extLst>
                <a:ext uri="{FF2B5EF4-FFF2-40B4-BE49-F238E27FC236}">
                  <a16:creationId xmlns:a16="http://schemas.microsoft.com/office/drawing/2014/main" id="{00000000-0008-0000-0500-000064000000}"/>
                </a:ext>
              </a:extLst>
            </xdr:cNvPr>
            <xdr:cNvSpPr txBox="1"/>
          </xdr:nvSpPr>
          <xdr:spPr>
            <a:xfrm>
              <a:off x="1226244"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1F1F5F05-7BAD-44D2-8F8C-620846C1CFE1}" type="TxLink">
                <a:rPr lang="en-US" sz="1400" b="1" i="0" u="none" strike="noStrike">
                  <a:solidFill>
                    <a:srgbClr val="0050A0"/>
                  </a:solidFill>
                  <a:latin typeface="Calibri"/>
                  <a:cs typeface="Calibri"/>
                </a:rPr>
                <a:pPr/>
                <a:t>Groep D</a:t>
              </a:fld>
              <a:endParaRPr lang="nl-NL" sz="1100" i="0">
                <a:solidFill>
                  <a:srgbClr val="0050A0"/>
                </a:solidFill>
              </a:endParaRPr>
            </a:p>
          </xdr:txBody>
        </xdr:sp>
        <xdr:sp macro="" textlink="$P$49">
          <xdr:nvSpPr>
            <xdr:cNvPr id="99" name="Groepshoofd - 4" hidden="1">
              <a:extLst>
                <a:ext uri="{FF2B5EF4-FFF2-40B4-BE49-F238E27FC236}">
                  <a16:creationId xmlns:a16="http://schemas.microsoft.com/office/drawing/2014/main" id="{00000000-0008-0000-0500-000063000000}"/>
                </a:ext>
              </a:extLst>
            </xdr:cNvPr>
            <xdr:cNvSpPr txBox="1"/>
          </xdr:nvSpPr>
          <xdr:spPr>
            <a:xfrm>
              <a:off x="584835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5459153-F73D-495F-9992-0E8B25A47169}" type="TxLink">
                <a:rPr lang="en-US" sz="1400" b="1" i="0" u="none" strike="noStrike">
                  <a:solidFill>
                    <a:srgbClr val="0050A0"/>
                  </a:solidFill>
                  <a:latin typeface="Calibri"/>
                  <a:cs typeface="Calibri"/>
                </a:rPr>
                <a:pPr/>
                <a:t>Groep G</a:t>
              </a:fld>
              <a:endParaRPr lang="nl-NL" sz="1100" i="0">
                <a:solidFill>
                  <a:srgbClr val="0050A0"/>
                </a:solidFill>
              </a:endParaRPr>
            </a:p>
          </xdr:txBody>
        </xdr:sp>
        <xdr:sp macro="" textlink="$M$49">
          <xdr:nvSpPr>
            <xdr:cNvPr id="98" name="Groepshoofd - 3">
              <a:extLst>
                <a:ext uri="{FF2B5EF4-FFF2-40B4-BE49-F238E27FC236}">
                  <a16:creationId xmlns:a16="http://schemas.microsoft.com/office/drawing/2014/main" id="{00000000-0008-0000-0500-000062000000}"/>
                </a:ext>
              </a:extLst>
            </xdr:cNvPr>
            <xdr:cNvSpPr txBox="1"/>
          </xdr:nvSpPr>
          <xdr:spPr>
            <a:xfrm>
              <a:off x="430530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52B406A-FFD6-4822-8721-9272494183D5}" type="TxLink">
                <a:rPr lang="en-US" sz="1400" b="1" i="0" u="none" strike="noStrike">
                  <a:solidFill>
                    <a:srgbClr val="0050A0"/>
                  </a:solidFill>
                  <a:latin typeface="Calibri"/>
                  <a:cs typeface="Calibri"/>
                </a:rPr>
                <a:pPr/>
                <a:t>Groep C</a:t>
              </a:fld>
              <a:endParaRPr lang="nl-NL" sz="1100" i="0">
                <a:solidFill>
                  <a:srgbClr val="0050A0"/>
                </a:solidFill>
              </a:endParaRPr>
            </a:p>
          </xdr:txBody>
        </xdr:sp>
        <xdr:sp macro="" textlink="$J$49">
          <xdr:nvSpPr>
            <xdr:cNvPr id="96" name="Groepshoofd - 2">
              <a:extLst>
                <a:ext uri="{FF2B5EF4-FFF2-40B4-BE49-F238E27FC236}">
                  <a16:creationId xmlns:a16="http://schemas.microsoft.com/office/drawing/2014/main" id="{00000000-0008-0000-0500-000060000000}"/>
                </a:ext>
              </a:extLst>
            </xdr:cNvPr>
            <xdr:cNvSpPr txBox="1"/>
          </xdr:nvSpPr>
          <xdr:spPr>
            <a:xfrm>
              <a:off x="276929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62024E7-93FB-4C12-95B0-27AD2779BF32}" type="TxLink">
                <a:rPr lang="en-US" sz="1400" b="1" i="0" u="none" strike="noStrike">
                  <a:solidFill>
                    <a:srgbClr val="0050A0"/>
                  </a:solidFill>
                  <a:latin typeface="Calibri"/>
                  <a:cs typeface="Calibri"/>
                </a:rPr>
                <a:pPr/>
                <a:t>Groep B</a:t>
              </a:fld>
              <a:endParaRPr lang="nl-NL" sz="1100" i="0">
                <a:solidFill>
                  <a:srgbClr val="0050A0"/>
                </a:solidFill>
              </a:endParaRPr>
            </a:p>
          </xdr:txBody>
        </xdr:sp>
        <xdr:sp macro="" textlink="$G$49">
          <xdr:nvSpPr>
            <xdr:cNvPr id="95" name="Groepshoofd - 1">
              <a:extLst>
                <a:ext uri="{FF2B5EF4-FFF2-40B4-BE49-F238E27FC236}">
                  <a16:creationId xmlns:a16="http://schemas.microsoft.com/office/drawing/2014/main" id="{00000000-0008-0000-0500-00005F000000}"/>
                </a:ext>
              </a:extLst>
            </xdr:cNvPr>
            <xdr:cNvSpPr txBox="1"/>
          </xdr:nvSpPr>
          <xdr:spPr>
            <a:xfrm>
              <a:off x="122624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E1DE034-0919-45DF-9171-A375197A8CDD}" type="TxLink">
                <a:rPr lang="en-US" sz="1400" b="1" i="0" u="none" strike="noStrike">
                  <a:solidFill>
                    <a:srgbClr val="0050A0"/>
                  </a:solidFill>
                  <a:latin typeface="Calibri"/>
                  <a:cs typeface="Calibri"/>
                </a:rPr>
                <a:pPr/>
                <a:t>Groep A</a:t>
              </a:fld>
              <a:endParaRPr lang="nl-NL" sz="1100" i="0">
                <a:solidFill>
                  <a:srgbClr val="0050A0"/>
                </a:solidFill>
              </a:endParaRPr>
            </a:p>
          </xdr:txBody>
        </xdr:sp>
      </xdr:grpSp>
      <xdr:sp macro="" textlink="$J$43">
        <xdr:nvSpPr>
          <xdr:cNvPr id="11" name="Nieuwsbalk 03">
            <a:extLst>
              <a:ext uri="{FF2B5EF4-FFF2-40B4-BE49-F238E27FC236}">
                <a16:creationId xmlns:a16="http://schemas.microsoft.com/office/drawing/2014/main" id="{00000000-0008-0000-0500-00000B000000}"/>
              </a:ext>
            </a:extLst>
          </xdr:cNvPr>
          <xdr:cNvSpPr txBox="1"/>
        </xdr:nvSpPr>
        <xdr:spPr>
          <a:xfrm>
            <a:off x="360009" y="7958487"/>
            <a:ext cx="7079277" cy="516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DB72B64-CAEF-46A6-85FF-A9EF9733471D}" type="TxLink">
              <a:rPr lang="en-US" sz="1800" b="1" i="0" u="none" strike="noStrike">
                <a:solidFill>
                  <a:srgbClr val="0050A0"/>
                </a:solidFill>
                <a:effectLst/>
                <a:latin typeface="Calibri" panose="020F0502020204030204" pitchFamily="34" charset="0"/>
                <a:ea typeface="Segoe UI Black" panose="020B0A02040204020203" pitchFamily="34" charset="0"/>
                <a:cs typeface="Calibri" panose="020F0502020204030204" pitchFamily="34" charset="0"/>
              </a:rPr>
              <a:pPr algn="ctr"/>
              <a:t>NOG ÉÉN DAG TOT DE START VAN EURO 2024</a:t>
            </a:fld>
            <a:endParaRPr lang="nl-NL" sz="2400" b="1" i="0">
              <a:solidFill>
                <a:srgbClr val="0050A0"/>
              </a:solidFill>
              <a:effectLst/>
              <a:latin typeface="Calibri" panose="020F0502020204030204" pitchFamily="34" charset="0"/>
              <a:ea typeface="Segoe UI Black" panose="020B0A02040204020203" pitchFamily="34" charset="0"/>
              <a:cs typeface="Calibri" panose="020F0502020204030204" pitchFamily="34" charset="0"/>
            </a:endParaRPr>
          </a:p>
        </xdr:txBody>
      </xdr:sp>
      <xdr:grpSp>
        <xdr:nvGrpSpPr>
          <xdr:cNvPr id="34" name="Titelbalk">
            <a:extLst>
              <a:ext uri="{FF2B5EF4-FFF2-40B4-BE49-F238E27FC236}">
                <a16:creationId xmlns:a16="http://schemas.microsoft.com/office/drawing/2014/main" id="{00000000-0008-0000-0500-000022000000}"/>
              </a:ext>
            </a:extLst>
          </xdr:cNvPr>
          <xdr:cNvGrpSpPr/>
        </xdr:nvGrpSpPr>
        <xdr:grpSpPr>
          <a:xfrm>
            <a:off x="360310" y="2267777"/>
            <a:ext cx="7078674" cy="577381"/>
            <a:chOff x="366228" y="2263430"/>
            <a:chExt cx="7090500" cy="578827"/>
          </a:xfrm>
        </xdr:grpSpPr>
        <xdr:sp macro="" textlink="$C$15">
          <xdr:nvSpPr>
            <xdr:cNvPr id="243" name="Titelbalk 02">
              <a:extLst>
                <a:ext uri="{FF2B5EF4-FFF2-40B4-BE49-F238E27FC236}">
                  <a16:creationId xmlns:a16="http://schemas.microsoft.com/office/drawing/2014/main" id="{00000000-0008-0000-0500-0000F3000000}"/>
                </a:ext>
              </a:extLst>
            </xdr:cNvPr>
            <xdr:cNvSpPr txBox="1"/>
          </xdr:nvSpPr>
          <xdr:spPr>
            <a:xfrm>
              <a:off x="366228" y="2482257"/>
              <a:ext cx="70905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DDE8CAD-A802-407B-B764-A0502012DA55}" type="TxLink">
                <a:rPr lang="en-US" sz="1100" b="1" i="1" u="none" strike="noStrike">
                  <a:solidFill>
                    <a:srgbClr val="9B0A37"/>
                  </a:solidFill>
                  <a:effectLst/>
                  <a:latin typeface="Calibri"/>
                  <a:ea typeface="Segoe UI Black" panose="020B0A02040204020203" pitchFamily="34" charset="0"/>
                  <a:cs typeface="Calibri"/>
                </a:rPr>
                <a:pPr algn="ctr"/>
                <a:t> </a:t>
              </a:fld>
              <a:endParaRPr lang="nl-NL" sz="2800" i="0">
                <a:solidFill>
                  <a:srgbClr val="9B0A37"/>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sp macro="" textlink="$D$13">
          <xdr:nvSpPr>
            <xdr:cNvPr id="242" name="Titelbalk 01">
              <a:extLst>
                <a:ext uri="{FF2B5EF4-FFF2-40B4-BE49-F238E27FC236}">
                  <a16:creationId xmlns:a16="http://schemas.microsoft.com/office/drawing/2014/main" id="{00000000-0008-0000-0500-0000F2000000}"/>
                </a:ext>
              </a:extLst>
            </xdr:cNvPr>
            <xdr:cNvSpPr txBox="1"/>
          </xdr:nvSpPr>
          <xdr:spPr>
            <a:xfrm>
              <a:off x="549519" y="2263430"/>
              <a:ext cx="672611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918922C8-6C4C-4384-A969-82659D3522FB}" type="TxLink">
                <a:rPr lang="en-US" sz="2000" b="1" i="0" u="none" strike="noStrike">
                  <a:ln>
                    <a:noFill/>
                  </a:ln>
                  <a:solidFill>
                    <a:srgbClr val="0050A0"/>
                  </a:solidFill>
                  <a:effectLst/>
                  <a:latin typeface="Calibri"/>
                  <a:ea typeface="Segoe UI Black" panose="020B0A02040204020203" pitchFamily="34" charset="0"/>
                  <a:cs typeface="Calibri"/>
                </a:rPr>
                <a:pPr algn="ctr"/>
                <a:t>HET EXCEL DEELNAME FORMULIER EURO 2024 (DUITSLAND)</a:t>
              </a:fld>
              <a:endParaRPr lang="nl-NL" sz="2800" i="0">
                <a:ln>
                  <a:noFill/>
                </a:ln>
                <a:solidFill>
                  <a:srgbClr val="0050A0"/>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grpSp>
    </xdr:grpSp>
    <xdr:clientData/>
  </xdr:twoCellAnchor>
  <xdr:twoCellAnchor>
    <xdr:from>
      <xdr:col>1</xdr:col>
      <xdr:colOff>232</xdr:colOff>
      <xdr:row>0</xdr:row>
      <xdr:rowOff>152401</xdr:rowOff>
    </xdr:from>
    <xdr:to>
      <xdr:col>20</xdr:col>
      <xdr:colOff>3265</xdr:colOff>
      <xdr:row>63</xdr:row>
      <xdr:rowOff>19050</xdr:rowOff>
    </xdr:to>
    <xdr:sp macro="" textlink="">
      <xdr:nvSpPr>
        <xdr:cNvPr id="35" name="Kader">
          <a:extLst>
            <a:ext uri="{FF2B5EF4-FFF2-40B4-BE49-F238E27FC236}">
              <a16:creationId xmlns:a16="http://schemas.microsoft.com/office/drawing/2014/main" id="{00000000-0008-0000-0500-000023000000}"/>
            </a:ext>
          </a:extLst>
        </xdr:cNvPr>
        <xdr:cNvSpPr/>
      </xdr:nvSpPr>
      <xdr:spPr>
        <a:xfrm>
          <a:off x="173414" y="152401"/>
          <a:ext cx="7380578" cy="12439649"/>
        </a:xfrm>
        <a:prstGeom prst="rect">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1</xdr:colOff>
      <xdr:row>4</xdr:row>
      <xdr:rowOff>0</xdr:rowOff>
    </xdr:from>
    <xdr:to>
      <xdr:col>19</xdr:col>
      <xdr:colOff>0</xdr:colOff>
      <xdr:row>10</xdr:row>
      <xdr:rowOff>0</xdr:rowOff>
    </xdr:to>
    <xdr:sp macro="" textlink="">
      <xdr:nvSpPr>
        <xdr:cNvPr id="59" name="Image_Voorblad">
          <a:extLst>
            <a:ext uri="{FF2B5EF4-FFF2-40B4-BE49-F238E27FC236}">
              <a16:creationId xmlns:a16="http://schemas.microsoft.com/office/drawing/2014/main" id="{00000000-0008-0000-0500-00003B000000}"/>
            </a:ext>
          </a:extLst>
        </xdr:cNvPr>
        <xdr:cNvSpPr/>
      </xdr:nvSpPr>
      <xdr:spPr>
        <a:xfrm>
          <a:off x="361951" y="762000"/>
          <a:ext cx="7077074" cy="1143000"/>
        </a:xfrm>
        <a:prstGeom prst="rect">
          <a:avLst/>
        </a:prstGeom>
        <a:blipFill>
          <a:blip xmlns:r="http://schemas.openxmlformats.org/officeDocument/2006/relationships" r:embed="rId39">
            <a:extLst>
              <a:ext uri="{28A0092B-C50C-407E-A947-70E740481C1C}">
                <a14:useLocalDpi xmlns:a14="http://schemas.microsoft.com/office/drawing/2010/main" val="0"/>
              </a:ext>
            </a:extLst>
          </a:blip>
          <a:stretch>
            <a:fillRect/>
          </a:stretch>
        </a:blipFill>
        <a:ln w="82550">
          <a:solidFill>
            <a:sysClr val="windowText" lastClr="000000">
              <a:alpha val="0"/>
            </a:sysClr>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76198</xdr:colOff>
      <xdr:row>6</xdr:row>
      <xdr:rowOff>85725</xdr:rowOff>
    </xdr:from>
    <xdr:to>
      <xdr:col>16</xdr:col>
      <xdr:colOff>389023</xdr:colOff>
      <xdr:row>12</xdr:row>
      <xdr:rowOff>130725</xdr:rowOff>
    </xdr:to>
    <xdr:grpSp>
      <xdr:nvGrpSpPr>
        <xdr:cNvPr id="120" name="DEMO VERSIE" hidden="1">
          <a:extLst>
            <a:ext uri="{FF2B5EF4-FFF2-40B4-BE49-F238E27FC236}">
              <a16:creationId xmlns:a16="http://schemas.microsoft.com/office/drawing/2014/main" id="{00000000-0008-0000-0500-000078000000}"/>
            </a:ext>
          </a:extLst>
        </xdr:cNvPr>
        <xdr:cNvGrpSpPr/>
      </xdr:nvGrpSpPr>
      <xdr:grpSpPr>
        <a:xfrm rot="20934966">
          <a:off x="981073" y="1228725"/>
          <a:ext cx="5904000" cy="1188000"/>
          <a:chOff x="10163175" y="7800975"/>
          <a:chExt cx="2543175" cy="571500"/>
        </a:xfrm>
        <a:effectLst>
          <a:outerShdw blurRad="50800" dist="38100" dir="2700000" algn="tl" rotWithShape="0">
            <a:prstClr val="black">
              <a:alpha val="40000"/>
            </a:prstClr>
          </a:outerShdw>
        </a:effectLst>
      </xdr:grpSpPr>
      <xdr:sp macro="" textlink="">
        <xdr:nvSpPr>
          <xdr:cNvPr id="125" name="Kader">
            <a:extLst>
              <a:ext uri="{FF2B5EF4-FFF2-40B4-BE49-F238E27FC236}">
                <a16:creationId xmlns:a16="http://schemas.microsoft.com/office/drawing/2014/main" id="{00000000-0008-0000-0500-00007D000000}"/>
              </a:ext>
            </a:extLst>
          </xdr:cNvPr>
          <xdr:cNvSpPr/>
        </xdr:nvSpPr>
        <xdr:spPr>
          <a:xfrm>
            <a:off x="10163175" y="7800975"/>
            <a:ext cx="2543175" cy="571500"/>
          </a:xfrm>
          <a:prstGeom prst="roundRect">
            <a:avLst/>
          </a:prstGeom>
          <a:solidFill>
            <a:schemeClr val="bg1">
              <a:alpha val="3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Q72">
        <xdr:nvSpPr>
          <xdr:cNvPr id="129" name="Tekst">
            <a:extLst>
              <a:ext uri="{FF2B5EF4-FFF2-40B4-BE49-F238E27FC236}">
                <a16:creationId xmlns:a16="http://schemas.microsoft.com/office/drawing/2014/main" id="{00000000-0008-0000-0500-000081000000}"/>
              </a:ext>
            </a:extLst>
          </xdr:cNvPr>
          <xdr:cNvSpPr txBox="1"/>
        </xdr:nvSpPr>
        <xdr:spPr>
          <a:xfrm>
            <a:off x="10163175" y="7800975"/>
            <a:ext cx="2543175" cy="57150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fld id="{A53ABB10-F4EA-49D9-A46B-8C27516207C2}" type="TxLink">
              <a:rPr lang="en-US" sz="4400" b="1" i="1" u="none" strike="noStrike">
                <a:solidFill>
                  <a:srgbClr val="FF0000"/>
                </a:solidFill>
                <a:latin typeface="Comic Sans MS" panose="030F0702030302020204" pitchFamily="66" charset="0"/>
                <a:cs typeface="Calibri"/>
              </a:rPr>
              <a:pPr algn="ctr"/>
              <a:t> </a:t>
            </a:fld>
            <a:endParaRPr lang="nl-NL" sz="4400" b="1">
              <a:solidFill>
                <a:srgbClr val="FF0000"/>
              </a:solidFill>
              <a:latin typeface="Comic Sans MS" panose="030F0702030302020204" pitchFamily="66" charset="0"/>
            </a:endParaRP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xcel-pool.nl/4beste3"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excel-pool.nl/4best3" TargetMode="External"/><Relationship Id="rId1" Type="http://schemas.openxmlformats.org/officeDocument/2006/relationships/hyperlink" Target="http://www.excel-pool.nl/4beste3"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C000"/>
  </sheetPr>
  <dimension ref="A1:F250"/>
  <sheetViews>
    <sheetView zoomScaleNormal="100" workbookViewId="0"/>
  </sheetViews>
  <sheetFormatPr defaultRowHeight="15" x14ac:dyDescent="0.25"/>
  <cols>
    <col min="1" max="1" width="8.7109375" style="528" customWidth="1"/>
    <col min="2" max="2" width="10.7109375" style="528" customWidth="1"/>
    <col min="3" max="27" width="50.7109375" customWidth="1"/>
  </cols>
  <sheetData>
    <row r="1" spans="1:6" s="555" customFormat="1" x14ac:dyDescent="0.25">
      <c r="A1" s="556" t="s">
        <v>583</v>
      </c>
      <c r="C1" s="557">
        <f>Voorblad!W66</f>
        <v>1</v>
      </c>
    </row>
    <row r="2" spans="1:6" s="555" customFormat="1" x14ac:dyDescent="0.25">
      <c r="A2" s="556" t="s">
        <v>584</v>
      </c>
      <c r="C2" s="557">
        <f>$C$1+2</f>
        <v>3</v>
      </c>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585</v>
      </c>
      <c r="B5" s="798"/>
    </row>
    <row r="6" spans="1:6" s="532" customFormat="1" x14ac:dyDescent="0.25">
      <c r="A6" s="535" t="str">
        <f>"01-A-001"</f>
        <v>01-A-001</v>
      </c>
      <c r="B6" s="789" t="str">
        <f ca="1">INDIRECT(CHAR(64+$C$2)&amp;ROW())</f>
        <v>EURO 2024</v>
      </c>
      <c r="C6" s="532" t="s">
        <v>2177</v>
      </c>
      <c r="D6" s="537" t="s">
        <v>2177</v>
      </c>
      <c r="E6" s="537" t="s">
        <v>2177</v>
      </c>
      <c r="F6" s="537" t="s">
        <v>2177</v>
      </c>
    </row>
    <row r="7" spans="1:6" s="533" customFormat="1" x14ac:dyDescent="0.25">
      <c r="A7" s="534" t="str">
        <f t="shared" ref="A7:A70" si="0">LEFT(A6,5)&amp;RIGHT("000"&amp;RIGHT(A6,3)*1+1,3)</f>
        <v>01-A-002</v>
      </c>
      <c r="B7" s="800" t="str">
        <f ca="1">INDIRECT(CHAR(64+$C$2)&amp;ROW())</f>
        <v>Duitsland</v>
      </c>
      <c r="C7" s="533" t="s">
        <v>1</v>
      </c>
      <c r="D7" s="538" t="s">
        <v>572</v>
      </c>
      <c r="E7" s="538" t="s">
        <v>1257</v>
      </c>
      <c r="F7" s="538" t="s">
        <v>1586</v>
      </c>
    </row>
    <row r="8" spans="1:6" s="532" customFormat="1" x14ac:dyDescent="0.25">
      <c r="A8" s="535" t="str">
        <f t="shared" si="0"/>
        <v>01-A-003</v>
      </c>
      <c r="B8" s="789" t="str">
        <f ca="1">INDIRECT(CHAR(64+$C$2)&amp;ROW())</f>
        <v>UEFA Europees kampioenschap: Duitsland</v>
      </c>
      <c r="C8" s="537" t="s">
        <v>2176</v>
      </c>
      <c r="D8" s="537" t="s">
        <v>2188</v>
      </c>
      <c r="E8" s="537" t="s">
        <v>2182</v>
      </c>
      <c r="F8" s="537" t="s">
        <v>2187</v>
      </c>
    </row>
    <row r="9" spans="1:6" s="533" customFormat="1" x14ac:dyDescent="0.25">
      <c r="A9" s="534" t="str">
        <f t="shared" si="0"/>
        <v>01-A-004</v>
      </c>
      <c r="B9" s="800" t="str">
        <f ca="1">INDIRECT(CHAR(64+$C$2)&amp;ROW())</f>
        <v>Nog één dag tot de start van EURO 2024</v>
      </c>
      <c r="C9" s="538" t="s">
        <v>2178</v>
      </c>
      <c r="D9" s="538" t="s">
        <v>2180</v>
      </c>
      <c r="E9" s="538" t="s">
        <v>2183</v>
      </c>
      <c r="F9" s="538" t="s">
        <v>2185</v>
      </c>
    </row>
    <row r="10" spans="1:6" s="532" customFormat="1" x14ac:dyDescent="0.25">
      <c r="A10" s="535" t="str">
        <f t="shared" si="0"/>
        <v>01-A-005</v>
      </c>
      <c r="B10" s="789" t="str">
        <f ca="1">INDIRECT(CHAR(64+$C$2)&amp;ROW())</f>
        <v>Nog ### dagen tot de start van EURO 2024</v>
      </c>
      <c r="C10" s="537" t="s">
        <v>2179</v>
      </c>
      <c r="D10" s="537" t="s">
        <v>2181</v>
      </c>
      <c r="E10" s="537" t="s">
        <v>2184</v>
      </c>
      <c r="F10" s="537" t="s">
        <v>2186</v>
      </c>
    </row>
    <row r="11" spans="1:6" s="553" customFormat="1" x14ac:dyDescent="0.25">
      <c r="A11" s="551" t="str">
        <f t="shared" si="0"/>
        <v>01-A-006</v>
      </c>
      <c r="B11" s="802"/>
    </row>
    <row r="12" spans="1:6" s="554" customFormat="1" x14ac:dyDescent="0.25">
      <c r="A12" s="552" t="str">
        <f t="shared" si="0"/>
        <v>01-A-007</v>
      </c>
      <c r="B12" s="803"/>
    </row>
    <row r="13" spans="1:6" s="553" customFormat="1" x14ac:dyDescent="0.25">
      <c r="A13" s="551" t="str">
        <f t="shared" si="0"/>
        <v>01-A-008</v>
      </c>
      <c r="B13" s="802"/>
    </row>
    <row r="14" spans="1:6" s="554" customFormat="1" x14ac:dyDescent="0.25">
      <c r="A14" s="552" t="str">
        <f t="shared" si="0"/>
        <v>01-A-009</v>
      </c>
      <c r="B14" s="803"/>
    </row>
    <row r="15" spans="1:6" s="533" customFormat="1" x14ac:dyDescent="0.25">
      <c r="A15" s="534" t="str">
        <f t="shared" si="0"/>
        <v>01-A-010</v>
      </c>
      <c r="B15" s="800" t="str">
        <f ca="1">INDIRECT(CHAR(64+$C$2)&amp;ROW())</f>
        <v>Het Beheerders Bestand</v>
      </c>
      <c r="C15" s="533" t="s">
        <v>532</v>
      </c>
      <c r="D15" s="533" t="s">
        <v>533</v>
      </c>
      <c r="E15" s="533" t="s">
        <v>1203</v>
      </c>
      <c r="F15" s="533" t="s">
        <v>1541</v>
      </c>
    </row>
    <row r="16" spans="1:6" s="532" customFormat="1" x14ac:dyDescent="0.25">
      <c r="A16" s="535" t="str">
        <f t="shared" si="0"/>
        <v>01-A-011</v>
      </c>
      <c r="B16" s="789" t="str">
        <f ca="1">INDIRECT(CHAR(64+$C$2)&amp;ROW())</f>
        <v>Demo</v>
      </c>
      <c r="C16" s="532" t="s">
        <v>578</v>
      </c>
      <c r="D16" s="532" t="s">
        <v>578</v>
      </c>
      <c r="E16" s="532" t="s">
        <v>578</v>
      </c>
      <c r="F16" s="532" t="s">
        <v>578</v>
      </c>
    </row>
    <row r="17" spans="1:6" s="533" customFormat="1" x14ac:dyDescent="0.25">
      <c r="A17" s="534" t="str">
        <f t="shared" si="0"/>
        <v>01-A-012</v>
      </c>
      <c r="B17" s="800" t="str">
        <f ca="1">UPPER(INDIRECT(CHAR(64+$C$2)&amp;ROW()))</f>
        <v>BETA VERSIE</v>
      </c>
      <c r="C17" s="533" t="s">
        <v>869</v>
      </c>
      <c r="D17" s="533" t="s">
        <v>870</v>
      </c>
      <c r="E17" s="533" t="s">
        <v>1204</v>
      </c>
      <c r="F17" s="533" t="s">
        <v>1542</v>
      </c>
    </row>
    <row r="18" spans="1:6" s="532" customFormat="1" x14ac:dyDescent="0.25">
      <c r="A18" s="535" t="str">
        <f t="shared" si="0"/>
        <v>01-A-013</v>
      </c>
      <c r="B18" s="789" t="str">
        <f ca="1">UPPER(INDIRECT(CHAR(64+$C$2)&amp;ROW()))</f>
        <v>DEMO VERSIE</v>
      </c>
      <c r="C18" s="532" t="s">
        <v>579</v>
      </c>
      <c r="D18" s="532" t="s">
        <v>580</v>
      </c>
      <c r="E18" s="532" t="s">
        <v>1205</v>
      </c>
      <c r="F18" s="532" t="s">
        <v>1543</v>
      </c>
    </row>
    <row r="19" spans="1:6" s="533" customFormat="1" x14ac:dyDescent="0.25">
      <c r="A19" s="534" t="str">
        <f t="shared" si="0"/>
        <v>01-A-014</v>
      </c>
      <c r="B19" s="800" t="str">
        <f ca="1">UPPER(INDIRECT(CHAR(64+$C$2)&amp;ROW()))</f>
        <v>PREVIEW VERSIE</v>
      </c>
      <c r="C19" s="533" t="s">
        <v>867</v>
      </c>
      <c r="D19" s="533" t="s">
        <v>868</v>
      </c>
      <c r="E19" s="533" t="s">
        <v>1206</v>
      </c>
      <c r="F19" s="533" t="s">
        <v>1544</v>
      </c>
    </row>
    <row r="20" spans="1:6" s="532" customFormat="1" x14ac:dyDescent="0.25">
      <c r="A20" s="535" t="str">
        <f t="shared" si="0"/>
        <v>01-A-015</v>
      </c>
      <c r="B20" s="789" t="str">
        <f t="shared" ref="B20:B33" ca="1" si="1">INDIRECT(CHAR(64+$C$2)&amp;ROW())</f>
        <v>Extra Beheerdersmodule voor de Organisatoren</v>
      </c>
      <c r="C20" s="532" t="s">
        <v>538</v>
      </c>
      <c r="D20" s="532" t="s">
        <v>541</v>
      </c>
      <c r="E20" s="532" t="s">
        <v>1207</v>
      </c>
      <c r="F20" s="532" t="s">
        <v>1545</v>
      </c>
    </row>
    <row r="21" spans="1:6" s="533" customFormat="1" x14ac:dyDescent="0.25">
      <c r="A21" s="534" t="str">
        <f t="shared" si="0"/>
        <v>01-A-016</v>
      </c>
      <c r="B21" s="800" t="str">
        <f t="shared" ca="1" si="1"/>
        <v>Het Deelname Formulier</v>
      </c>
      <c r="C21" s="533" t="s">
        <v>2168</v>
      </c>
      <c r="D21" s="533" t="s">
        <v>542</v>
      </c>
      <c r="E21" s="533" t="s">
        <v>1208</v>
      </c>
      <c r="F21" s="533" t="s">
        <v>1546</v>
      </c>
    </row>
    <row r="22" spans="1:6" s="532" customFormat="1" x14ac:dyDescent="0.25">
      <c r="A22" s="535" t="str">
        <f t="shared" si="0"/>
        <v>01-A-017</v>
      </c>
      <c r="B22" s="789" t="str">
        <f t="shared" ca="1" si="1"/>
        <v>Het Excel Deelname Formulier</v>
      </c>
      <c r="C22" s="532" t="s">
        <v>534</v>
      </c>
      <c r="D22" s="532" t="s">
        <v>535</v>
      </c>
      <c r="E22" s="532" t="s">
        <v>1209</v>
      </c>
      <c r="F22" s="532" t="s">
        <v>1547</v>
      </c>
    </row>
    <row r="23" spans="1:6" s="553" customFormat="1" x14ac:dyDescent="0.25">
      <c r="A23" s="551" t="str">
        <f t="shared" si="0"/>
        <v>01-A-018</v>
      </c>
      <c r="B23" s="802" t="str">
        <f t="shared" ca="1" si="1"/>
        <v>Externe Ranglijst</v>
      </c>
      <c r="C23" s="553" t="s">
        <v>536</v>
      </c>
      <c r="D23" s="553" t="s">
        <v>537</v>
      </c>
      <c r="E23" s="553" t="s">
        <v>1210</v>
      </c>
      <c r="F23" s="553" t="s">
        <v>1548</v>
      </c>
    </row>
    <row r="24" spans="1:6" s="554" customFormat="1" x14ac:dyDescent="0.25">
      <c r="A24" s="552" t="str">
        <f t="shared" si="0"/>
        <v>01-A-019</v>
      </c>
      <c r="B24" s="803" t="str">
        <f t="shared" ca="1" si="1"/>
        <v>Uitbreidingsmodule voor het Beheerders Bestand</v>
      </c>
      <c r="C24" s="554" t="s">
        <v>539</v>
      </c>
      <c r="D24" s="554" t="s">
        <v>543</v>
      </c>
      <c r="E24" s="554" t="s">
        <v>1211</v>
      </c>
      <c r="F24" s="554" t="s">
        <v>1549</v>
      </c>
    </row>
    <row r="25" spans="1:6" s="553" customFormat="1" x14ac:dyDescent="0.25">
      <c r="A25" s="551" t="str">
        <f t="shared" si="0"/>
        <v>01-A-020</v>
      </c>
      <c r="B25" s="802" t="str">
        <f t="shared" ca="1" si="1"/>
        <v>Update voor de Excel EK-Pool naar versie</v>
      </c>
      <c r="C25" s="553" t="s">
        <v>540</v>
      </c>
      <c r="D25" s="553" t="s">
        <v>544</v>
      </c>
      <c r="E25" s="553" t="s">
        <v>1212</v>
      </c>
      <c r="F25" s="553" t="s">
        <v>1550</v>
      </c>
    </row>
    <row r="26" spans="1:6" s="554" customFormat="1" x14ac:dyDescent="0.25">
      <c r="A26" s="552" t="str">
        <f t="shared" si="0"/>
        <v>01-A-021</v>
      </c>
      <c r="B26" s="803" t="str">
        <f t="shared" ca="1" si="1"/>
        <v>Helpbestand voor Excel-pool.nl</v>
      </c>
      <c r="C26" s="554" t="s">
        <v>555</v>
      </c>
      <c r="D26" s="554" t="s">
        <v>556</v>
      </c>
      <c r="E26" s="554" t="s">
        <v>1213</v>
      </c>
      <c r="F26" s="554" t="s">
        <v>1551</v>
      </c>
    </row>
    <row r="27" spans="1:6" s="538" customFormat="1" x14ac:dyDescent="0.25">
      <c r="A27" s="534" t="str">
        <f t="shared" si="0"/>
        <v>01-A-022</v>
      </c>
      <c r="B27" s="788" t="str">
        <f t="shared" ca="1" si="1"/>
        <v>LET OP: Voor een optimaal gebruik van dit bestand wordt geadviseerd om de macro's in te schakelen.</v>
      </c>
      <c r="C27" s="538" t="s">
        <v>1165</v>
      </c>
      <c r="D27" s="538" t="s">
        <v>552</v>
      </c>
      <c r="E27" s="538" t="s">
        <v>1214</v>
      </c>
      <c r="F27" s="538" t="s">
        <v>1552</v>
      </c>
    </row>
    <row r="28" spans="1:6" s="554" customFormat="1" x14ac:dyDescent="0.25">
      <c r="A28" s="552" t="str">
        <f t="shared" si="0"/>
        <v>01-A-023</v>
      </c>
      <c r="B28" s="803" t="str">
        <f t="shared" ca="1" si="1"/>
        <v>LET OP: Deze module maakt gebruik van macro's. Het word geadviseerd om deze in te schakelen.</v>
      </c>
      <c r="C28" s="554" t="s">
        <v>545</v>
      </c>
      <c r="D28" s="554" t="s">
        <v>553</v>
      </c>
      <c r="E28" s="554" t="s">
        <v>1215</v>
      </c>
      <c r="F28" s="554" t="s">
        <v>1553</v>
      </c>
    </row>
    <row r="29" spans="1:6" s="538" customFormat="1" x14ac:dyDescent="0.25">
      <c r="A29" s="534" t="str">
        <f t="shared" si="0"/>
        <v>01-A-024</v>
      </c>
      <c r="B29" s="788" t="str">
        <f t="shared" ca="1" si="1"/>
        <v>LET OP: Dit formulier bevat geen reglement. Vraag uw organisator om het reglement toe te voegen.</v>
      </c>
      <c r="C29" s="538" t="s">
        <v>546</v>
      </c>
      <c r="D29" s="538" t="s">
        <v>604</v>
      </c>
      <c r="E29" s="538" t="s">
        <v>1216</v>
      </c>
      <c r="F29" s="538" t="s">
        <v>1554</v>
      </c>
    </row>
    <row r="30" spans="1:6" s="554" customFormat="1" x14ac:dyDescent="0.25">
      <c r="A30" s="552" t="str">
        <f t="shared" si="0"/>
        <v>01-A-025</v>
      </c>
      <c r="B30" s="803" t="str">
        <f t="shared" ca="1" si="1"/>
        <v>LET OP: Deze module maakt gebruikt van macro's en is geschikt voor maximaal ### deelnemers.</v>
      </c>
      <c r="C30" s="554" t="s">
        <v>547</v>
      </c>
      <c r="D30" s="554" t="s">
        <v>550</v>
      </c>
      <c r="E30" s="554" t="s">
        <v>1217</v>
      </c>
      <c r="F30" s="554" t="s">
        <v>1555</v>
      </c>
    </row>
    <row r="31" spans="1:6" s="553" customFormat="1" x14ac:dyDescent="0.25">
      <c r="A31" s="551" t="str">
        <f t="shared" si="0"/>
        <v>01-A-026</v>
      </c>
      <c r="B31" s="802" t="str">
        <f t="shared" ca="1" si="1"/>
        <v>LET OP: Deze ranglijst maakt gebruikt van macro's en is geschikt voor maximaal ### deelnemers.</v>
      </c>
      <c r="C31" s="553" t="s">
        <v>548</v>
      </c>
      <c r="D31" s="553" t="s">
        <v>551</v>
      </c>
      <c r="E31" s="553" t="s">
        <v>1218</v>
      </c>
      <c r="F31" s="553" t="s">
        <v>1556</v>
      </c>
    </row>
    <row r="32" spans="1:6" s="554" customFormat="1" x14ac:dyDescent="0.25">
      <c r="A32" s="552" t="str">
        <f t="shared" si="0"/>
        <v>01-A-027</v>
      </c>
      <c r="B32" s="803" t="str">
        <f t="shared" ca="1" si="1"/>
        <v>LET OP: Deze update maakt gebruik van macro's. Geadviseerd wordt om deze in te schakelen.</v>
      </c>
      <c r="C32" s="554" t="s">
        <v>549</v>
      </c>
      <c r="D32" s="554" t="s">
        <v>554</v>
      </c>
      <c r="E32" s="554" t="s">
        <v>1219</v>
      </c>
      <c r="F32" s="554" t="s">
        <v>1557</v>
      </c>
    </row>
    <row r="33" spans="1:6" s="541" customFormat="1" x14ac:dyDescent="0.25">
      <c r="A33" s="534" t="str">
        <f t="shared" si="0"/>
        <v>01-A-028</v>
      </c>
      <c r="B33" s="800" t="str">
        <f t="shared" ca="1" si="1"/>
        <v>Deelnemers</v>
      </c>
      <c r="C33" s="533" t="s">
        <v>581</v>
      </c>
      <c r="D33" s="533" t="s">
        <v>582</v>
      </c>
      <c r="E33" s="538" t="s">
        <v>1220</v>
      </c>
      <c r="F33" s="541" t="s">
        <v>1558</v>
      </c>
    </row>
    <row r="34" spans="1:6" s="554" customFormat="1" x14ac:dyDescent="0.25">
      <c r="A34" s="552" t="str">
        <f t="shared" si="0"/>
        <v>01-A-029</v>
      </c>
      <c r="B34" s="803"/>
    </row>
    <row r="35" spans="1:6" s="553" customFormat="1" x14ac:dyDescent="0.25">
      <c r="A35" s="551" t="str">
        <f t="shared" si="0"/>
        <v>01-A-030</v>
      </c>
      <c r="B35" s="802"/>
    </row>
    <row r="36" spans="1:6" s="537" customFormat="1" x14ac:dyDescent="0.25">
      <c r="A36" s="534" t="str">
        <f t="shared" si="0"/>
        <v>01-A-031</v>
      </c>
      <c r="B36" s="787" t="str">
        <f t="shared" ref="B36:B56" ca="1" si="2">INDIRECT(CHAR(64+$C$2)&amp;ROW())</f>
        <v>Voorblad</v>
      </c>
      <c r="C36" s="537" t="s">
        <v>557</v>
      </c>
      <c r="D36" s="537" t="s">
        <v>602</v>
      </c>
      <c r="E36" s="537" t="s">
        <v>1221</v>
      </c>
      <c r="F36" s="537" t="s">
        <v>1559</v>
      </c>
    </row>
    <row r="37" spans="1:6" s="538" customFormat="1" x14ac:dyDescent="0.25">
      <c r="A37" s="549" t="str">
        <f t="shared" si="0"/>
        <v>01-A-032</v>
      </c>
      <c r="B37" s="788" t="str">
        <f t="shared" ca="1" si="2"/>
        <v>Reglement</v>
      </c>
      <c r="C37" s="538" t="s">
        <v>586</v>
      </c>
      <c r="D37" s="538" t="s">
        <v>603</v>
      </c>
      <c r="E37" s="538" t="s">
        <v>1222</v>
      </c>
      <c r="F37" s="538" t="s">
        <v>1560</v>
      </c>
    </row>
    <row r="38" spans="1:6" s="537" customFormat="1" x14ac:dyDescent="0.25">
      <c r="A38" s="550" t="str">
        <f t="shared" si="0"/>
        <v>01-A-033</v>
      </c>
      <c r="B38" s="787" t="str">
        <f t="shared" ca="1" si="2"/>
        <v>Prijzenpot</v>
      </c>
      <c r="C38" s="537" t="s">
        <v>587</v>
      </c>
      <c r="D38" s="537" t="s">
        <v>605</v>
      </c>
      <c r="E38" s="537" t="s">
        <v>1223</v>
      </c>
      <c r="F38" s="537" t="s">
        <v>1561</v>
      </c>
    </row>
    <row r="39" spans="1:6" s="538" customFormat="1" x14ac:dyDescent="0.25">
      <c r="A39" s="549" t="str">
        <f t="shared" si="0"/>
        <v>01-A-034</v>
      </c>
      <c r="B39" s="788" t="str">
        <f t="shared" ca="1" si="2"/>
        <v>Groepswedstrijden</v>
      </c>
      <c r="C39" s="538" t="s">
        <v>588</v>
      </c>
      <c r="D39" s="538" t="s">
        <v>606</v>
      </c>
      <c r="E39" s="538" t="s">
        <v>1224</v>
      </c>
      <c r="F39" s="538" t="s">
        <v>1562</v>
      </c>
    </row>
    <row r="40" spans="1:6" s="537" customFormat="1" x14ac:dyDescent="0.25">
      <c r="A40" s="550" t="str">
        <f t="shared" si="0"/>
        <v>01-A-035</v>
      </c>
      <c r="B40" s="787" t="str">
        <f t="shared" ca="1" si="2"/>
        <v>Eindstand Groep</v>
      </c>
      <c r="C40" s="537" t="s">
        <v>255</v>
      </c>
      <c r="D40" s="537" t="s">
        <v>896</v>
      </c>
      <c r="E40" s="537" t="s">
        <v>1225</v>
      </c>
      <c r="F40" s="537" t="s">
        <v>1563</v>
      </c>
    </row>
    <row r="41" spans="1:6" s="538" customFormat="1" x14ac:dyDescent="0.25">
      <c r="A41" s="549" t="str">
        <f t="shared" si="0"/>
        <v>01-A-036</v>
      </c>
      <c r="B41" s="788" t="str">
        <f t="shared" ca="1" si="2"/>
        <v>Finalewedstrijden</v>
      </c>
      <c r="C41" s="538" t="s">
        <v>589</v>
      </c>
      <c r="D41" s="538" t="s">
        <v>607</v>
      </c>
      <c r="E41" s="538" t="s">
        <v>1226</v>
      </c>
      <c r="F41" s="538" t="s">
        <v>1564</v>
      </c>
    </row>
    <row r="42" spans="1:6" s="537" customFormat="1" x14ac:dyDescent="0.25">
      <c r="A42" s="550" t="str">
        <f t="shared" si="0"/>
        <v>01-A-037</v>
      </c>
      <c r="B42" s="787" t="str">
        <f t="shared" ca="1" si="2"/>
        <v>Bonusvragen</v>
      </c>
      <c r="C42" s="537" t="s">
        <v>99</v>
      </c>
      <c r="D42" s="537" t="s">
        <v>608</v>
      </c>
      <c r="E42" s="537" t="s">
        <v>1227</v>
      </c>
      <c r="F42" s="537" t="s">
        <v>1565</v>
      </c>
    </row>
    <row r="43" spans="1:6" s="538" customFormat="1" x14ac:dyDescent="0.25">
      <c r="A43" s="549" t="str">
        <f t="shared" si="0"/>
        <v>01-A-038</v>
      </c>
      <c r="B43" s="788" t="str">
        <f t="shared" ca="1" si="2"/>
        <v>Deelnamecode</v>
      </c>
      <c r="C43" s="538" t="s">
        <v>590</v>
      </c>
      <c r="D43" s="538" t="s">
        <v>609</v>
      </c>
      <c r="E43" s="538" t="s">
        <v>1228</v>
      </c>
      <c r="F43" s="538" t="s">
        <v>1566</v>
      </c>
    </row>
    <row r="44" spans="1:6" s="554" customFormat="1" x14ac:dyDescent="0.25">
      <c r="A44" s="552" t="str">
        <f t="shared" si="0"/>
        <v>01-A-039</v>
      </c>
      <c r="B44" s="803" t="str">
        <f t="shared" ca="1" si="2"/>
        <v>Reglement Display</v>
      </c>
      <c r="C44" s="554" t="s">
        <v>591</v>
      </c>
      <c r="D44" s="554" t="s">
        <v>610</v>
      </c>
      <c r="E44" s="554" t="s">
        <v>1229</v>
      </c>
      <c r="F44" s="554" t="s">
        <v>1567</v>
      </c>
    </row>
    <row r="45" spans="1:6" s="553" customFormat="1" x14ac:dyDescent="0.25">
      <c r="A45" s="551" t="str">
        <f t="shared" si="0"/>
        <v>01-A-040</v>
      </c>
      <c r="B45" s="802" t="str">
        <f t="shared" ca="1" si="2"/>
        <v>Beheerders Display</v>
      </c>
      <c r="C45" s="553" t="s">
        <v>592</v>
      </c>
      <c r="D45" s="553" t="s">
        <v>611</v>
      </c>
      <c r="E45" s="553" t="s">
        <v>1230</v>
      </c>
      <c r="F45" s="553" t="s">
        <v>1568</v>
      </c>
    </row>
    <row r="46" spans="1:6" s="554" customFormat="1" x14ac:dyDescent="0.25">
      <c r="A46" s="552" t="str">
        <f t="shared" si="0"/>
        <v>01-A-041</v>
      </c>
      <c r="B46" s="803" t="str">
        <f t="shared" ca="1" si="2"/>
        <v>Uitslagen</v>
      </c>
      <c r="C46" s="554" t="s">
        <v>593</v>
      </c>
      <c r="D46" s="554" t="s">
        <v>612</v>
      </c>
      <c r="E46" s="554" t="s">
        <v>1231</v>
      </c>
      <c r="F46" s="554" t="s">
        <v>1569</v>
      </c>
    </row>
    <row r="47" spans="1:6" s="553" customFormat="1" x14ac:dyDescent="0.25">
      <c r="A47" s="551" t="str">
        <f t="shared" si="0"/>
        <v>01-A-042</v>
      </c>
      <c r="B47" s="802" t="str">
        <f t="shared" ca="1" si="2"/>
        <v>Openvragen</v>
      </c>
      <c r="C47" s="553" t="s">
        <v>594</v>
      </c>
      <c r="D47" s="553" t="s">
        <v>613</v>
      </c>
      <c r="E47" s="553" t="s">
        <v>1232</v>
      </c>
      <c r="F47" s="553" t="s">
        <v>1570</v>
      </c>
    </row>
    <row r="48" spans="1:6" s="537" customFormat="1" x14ac:dyDescent="0.25">
      <c r="A48" s="550" t="str">
        <f t="shared" si="0"/>
        <v>01-A-043</v>
      </c>
      <c r="B48" s="787" t="str">
        <f t="shared" ca="1" si="2"/>
        <v>Punten Groepswedstrijden</v>
      </c>
      <c r="C48" s="537" t="s">
        <v>595</v>
      </c>
      <c r="D48" s="537" t="s">
        <v>614</v>
      </c>
      <c r="E48" s="537" t="s">
        <v>1233</v>
      </c>
      <c r="F48" s="537" t="s">
        <v>1571</v>
      </c>
    </row>
    <row r="49" spans="1:6" s="538" customFormat="1" x14ac:dyDescent="0.25">
      <c r="A49" s="549" t="str">
        <f t="shared" si="0"/>
        <v>01-A-044</v>
      </c>
      <c r="B49" s="788" t="str">
        <f t="shared" ca="1" si="2"/>
        <v>Punten Eindstand Groepsdase</v>
      </c>
      <c r="C49" s="538" t="s">
        <v>596</v>
      </c>
      <c r="D49" s="538" t="s">
        <v>897</v>
      </c>
      <c r="E49" s="538" t="s">
        <v>1234</v>
      </c>
      <c r="F49" s="538" t="s">
        <v>1572</v>
      </c>
    </row>
    <row r="50" spans="1:6" s="537" customFormat="1" x14ac:dyDescent="0.25">
      <c r="A50" s="550" t="str">
        <f t="shared" si="0"/>
        <v>01-A-045</v>
      </c>
      <c r="B50" s="787" t="str">
        <f t="shared" ca="1" si="2"/>
        <v>Punten Finalewedstrijden</v>
      </c>
      <c r="C50" s="537" t="s">
        <v>597</v>
      </c>
      <c r="D50" s="537" t="s">
        <v>615</v>
      </c>
      <c r="E50" s="537" t="s">
        <v>1235</v>
      </c>
      <c r="F50" s="537" t="s">
        <v>1573</v>
      </c>
    </row>
    <row r="51" spans="1:6" s="538" customFormat="1" x14ac:dyDescent="0.25">
      <c r="A51" s="549" t="str">
        <f t="shared" si="0"/>
        <v>01-A-046</v>
      </c>
      <c r="B51" s="788" t="str">
        <f t="shared" ca="1" si="2"/>
        <v>Punten Bonusvragen</v>
      </c>
      <c r="C51" s="538" t="s">
        <v>598</v>
      </c>
      <c r="D51" s="538" t="s">
        <v>616</v>
      </c>
      <c r="E51" s="538" t="s">
        <v>1236</v>
      </c>
      <c r="F51" s="538" t="s">
        <v>1574</v>
      </c>
    </row>
    <row r="52" spans="1:6" s="537" customFormat="1" x14ac:dyDescent="0.25">
      <c r="A52" s="550" t="str">
        <f t="shared" si="0"/>
        <v>01-A-047</v>
      </c>
      <c r="B52" s="787" t="str">
        <f t="shared" ca="1" si="2"/>
        <v>Ranglijst</v>
      </c>
      <c r="C52" s="537" t="s">
        <v>599</v>
      </c>
      <c r="D52" s="537" t="s">
        <v>617</v>
      </c>
      <c r="E52" s="537" t="s">
        <v>1237</v>
      </c>
      <c r="F52" s="537" t="s">
        <v>617</v>
      </c>
    </row>
    <row r="53" spans="1:6" s="538" customFormat="1" x14ac:dyDescent="0.25">
      <c r="A53" s="549" t="str">
        <f t="shared" si="0"/>
        <v>01-A-048</v>
      </c>
      <c r="B53" s="788" t="str">
        <f t="shared" ca="1" si="2"/>
        <v>Voorspellingen</v>
      </c>
      <c r="C53" s="538" t="s">
        <v>600</v>
      </c>
      <c r="D53" s="538" t="s">
        <v>619</v>
      </c>
      <c r="E53" s="538" t="s">
        <v>1238</v>
      </c>
      <c r="F53" s="538" t="s">
        <v>1575</v>
      </c>
    </row>
    <row r="54" spans="1:6" s="554" customFormat="1" x14ac:dyDescent="0.25">
      <c r="A54" s="552" t="str">
        <f t="shared" si="0"/>
        <v>01-A-049</v>
      </c>
      <c r="B54" s="803" t="str">
        <f t="shared" ca="1" si="2"/>
        <v>Kladblok</v>
      </c>
      <c r="C54" s="554" t="s">
        <v>601</v>
      </c>
      <c r="D54" s="554" t="s">
        <v>618</v>
      </c>
      <c r="E54" s="554" t="s">
        <v>1239</v>
      </c>
      <c r="F54" s="554" t="s">
        <v>1576</v>
      </c>
    </row>
    <row r="55" spans="1:6" s="553" customFormat="1" x14ac:dyDescent="0.25">
      <c r="A55" s="549" t="str">
        <f t="shared" si="0"/>
        <v>01-A-050</v>
      </c>
      <c r="B55" s="788" t="str">
        <f t="shared" ca="1" si="2"/>
        <v>Teams Instellen</v>
      </c>
      <c r="C55" s="538" t="s">
        <v>1241</v>
      </c>
      <c r="D55" s="538" t="s">
        <v>1242</v>
      </c>
      <c r="E55" s="538" t="s">
        <v>1240</v>
      </c>
      <c r="F55" s="538" t="s">
        <v>2170</v>
      </c>
    </row>
    <row r="56" spans="1:6" s="554" customFormat="1" x14ac:dyDescent="0.25">
      <c r="A56" s="550" t="str">
        <f t="shared" si="0"/>
        <v>01-A-051</v>
      </c>
      <c r="B56" s="787" t="str">
        <f t="shared" ca="1" si="2"/>
        <v>Teams</v>
      </c>
      <c r="C56" s="537" t="s">
        <v>1243</v>
      </c>
      <c r="D56" s="537" t="s">
        <v>1243</v>
      </c>
      <c r="E56" s="537" t="s">
        <v>1243</v>
      </c>
      <c r="F56" s="537" t="s">
        <v>2171</v>
      </c>
    </row>
    <row r="57" spans="1:6" s="553" customFormat="1" x14ac:dyDescent="0.25">
      <c r="A57" s="551" t="str">
        <f t="shared" si="0"/>
        <v>01-A-052</v>
      </c>
      <c r="B57" s="802"/>
    </row>
    <row r="58" spans="1:6" s="554" customFormat="1" x14ac:dyDescent="0.25">
      <c r="A58" s="552" t="str">
        <f t="shared" si="0"/>
        <v>01-A-053</v>
      </c>
      <c r="B58" s="803"/>
    </row>
    <row r="59" spans="1:6" s="553" customFormat="1" x14ac:dyDescent="0.25">
      <c r="A59" s="551" t="str">
        <f t="shared" si="0"/>
        <v>01-A-054</v>
      </c>
      <c r="B59" s="802"/>
    </row>
    <row r="60" spans="1:6" s="554" customFormat="1" x14ac:dyDescent="0.25">
      <c r="A60" s="552" t="str">
        <f t="shared" si="0"/>
        <v>01-A-055</v>
      </c>
      <c r="B60" s="803"/>
    </row>
    <row r="61" spans="1:6" s="546" customFormat="1" x14ac:dyDescent="0.25">
      <c r="A61" s="545" t="str">
        <f t="shared" si="0"/>
        <v>01-A-056</v>
      </c>
      <c r="B61" s="786" t="s">
        <v>558</v>
      </c>
      <c r="C61" s="546" t="str">
        <f t="shared" ref="C61:F65" si="3">B61</f>
        <v>Choose your language</v>
      </c>
      <c r="D61" s="546" t="str">
        <f t="shared" si="3"/>
        <v>Choose your language</v>
      </c>
      <c r="E61" s="546" t="str">
        <f t="shared" si="3"/>
        <v>Choose your language</v>
      </c>
      <c r="F61" s="546" t="str">
        <f t="shared" si="3"/>
        <v>Choose your language</v>
      </c>
    </row>
    <row r="62" spans="1:6" s="532" customFormat="1" x14ac:dyDescent="0.25">
      <c r="A62" s="535" t="str">
        <f t="shared" si="0"/>
        <v>01-A-057</v>
      </c>
      <c r="B62" s="789" t="s">
        <v>559</v>
      </c>
      <c r="C62" s="855" t="str">
        <f t="shared" si="3"/>
        <v>Dutch</v>
      </c>
      <c r="D62" s="855" t="str">
        <f t="shared" si="3"/>
        <v>Dutch</v>
      </c>
      <c r="E62" s="855" t="str">
        <f t="shared" si="3"/>
        <v>Dutch</v>
      </c>
      <c r="F62" s="855" t="str">
        <f t="shared" si="3"/>
        <v>Dutch</v>
      </c>
    </row>
    <row r="63" spans="1:6" s="533" customFormat="1" x14ac:dyDescent="0.25">
      <c r="A63" s="534" t="str">
        <f t="shared" si="0"/>
        <v>01-A-058</v>
      </c>
      <c r="B63" s="800" t="s">
        <v>560</v>
      </c>
      <c r="C63" s="856" t="str">
        <f t="shared" si="3"/>
        <v>English</v>
      </c>
      <c r="D63" s="856" t="str">
        <f t="shared" si="3"/>
        <v>English</v>
      </c>
      <c r="E63" s="856" t="str">
        <f t="shared" si="3"/>
        <v>English</v>
      </c>
      <c r="F63" s="856" t="str">
        <f t="shared" si="3"/>
        <v>English</v>
      </c>
    </row>
    <row r="64" spans="1:6" s="544" customFormat="1" x14ac:dyDescent="0.25">
      <c r="A64" s="550" t="str">
        <f t="shared" si="0"/>
        <v>01-A-059</v>
      </c>
      <c r="B64" s="787" t="s">
        <v>1202</v>
      </c>
      <c r="C64" s="855" t="str">
        <f t="shared" si="3"/>
        <v>German (under development)</v>
      </c>
      <c r="D64" s="855" t="str">
        <f t="shared" si="3"/>
        <v>German (under development)</v>
      </c>
      <c r="E64" s="855" t="str">
        <f t="shared" si="3"/>
        <v>German (under development)</v>
      </c>
      <c r="F64" s="855" t="str">
        <f t="shared" si="3"/>
        <v>German (under development)</v>
      </c>
    </row>
    <row r="65" spans="1:6" s="538" customFormat="1" x14ac:dyDescent="0.25">
      <c r="A65" s="549" t="str">
        <f t="shared" si="0"/>
        <v>01-A-060</v>
      </c>
      <c r="B65" s="788" t="s">
        <v>1540</v>
      </c>
      <c r="C65" s="856" t="str">
        <f t="shared" si="3"/>
        <v>Swedish (under development)</v>
      </c>
      <c r="D65" s="856" t="str">
        <f t="shared" si="3"/>
        <v>Swedish (under development)</v>
      </c>
      <c r="E65" s="856" t="str">
        <f t="shared" si="3"/>
        <v>Swedish (under development)</v>
      </c>
      <c r="F65" s="856" t="str">
        <f t="shared" si="3"/>
        <v>Swedish (under development)</v>
      </c>
    </row>
    <row r="66" spans="1:6" s="544" customFormat="1" x14ac:dyDescent="0.25">
      <c r="A66" s="542" t="str">
        <f t="shared" si="0"/>
        <v>01-A-061</v>
      </c>
      <c r="B66" s="792"/>
    </row>
    <row r="67" spans="1:6" s="541" customFormat="1" x14ac:dyDescent="0.25">
      <c r="A67" s="539" t="str">
        <f t="shared" si="0"/>
        <v>01-A-062</v>
      </c>
      <c r="B67" s="793"/>
    </row>
    <row r="68" spans="1:6" s="544" customFormat="1" x14ac:dyDescent="0.25">
      <c r="A68" s="542" t="str">
        <f t="shared" si="0"/>
        <v>01-A-063</v>
      </c>
      <c r="B68" s="792"/>
    </row>
    <row r="69" spans="1:6" s="541" customFormat="1" x14ac:dyDescent="0.25">
      <c r="A69" s="539" t="str">
        <f t="shared" si="0"/>
        <v>01-A-064</v>
      </c>
      <c r="B69" s="793"/>
    </row>
    <row r="70" spans="1:6" s="544" customFormat="1" x14ac:dyDescent="0.25">
      <c r="A70" s="542" t="str">
        <f t="shared" si="0"/>
        <v>01-A-065</v>
      </c>
      <c r="B70" s="792"/>
    </row>
    <row r="71" spans="1:6" s="541" customFormat="1" x14ac:dyDescent="0.25">
      <c r="A71" s="539" t="str">
        <f t="shared" ref="A71:A134" si="4">LEFT(A70,5)&amp;RIGHT("000"&amp;RIGHT(A70,3)*1+1,3)</f>
        <v>01-A-066</v>
      </c>
      <c r="B71" s="793"/>
    </row>
    <row r="72" spans="1:6" s="544" customFormat="1" x14ac:dyDescent="0.25">
      <c r="A72" s="542" t="str">
        <f t="shared" si="4"/>
        <v>01-A-067</v>
      </c>
      <c r="B72" s="792"/>
    </row>
    <row r="73" spans="1:6" s="541" customFormat="1" x14ac:dyDescent="0.25">
      <c r="A73" s="539" t="str">
        <f t="shared" si="4"/>
        <v>01-A-068</v>
      </c>
      <c r="B73" s="793"/>
    </row>
    <row r="74" spans="1:6" s="544" customFormat="1" x14ac:dyDescent="0.25">
      <c r="A74" s="542" t="str">
        <f t="shared" si="4"/>
        <v>01-A-069</v>
      </c>
      <c r="B74" s="792"/>
    </row>
    <row r="75" spans="1:6" s="541" customFormat="1" x14ac:dyDescent="0.25">
      <c r="A75" s="539" t="str">
        <f t="shared" si="4"/>
        <v>01-A-070</v>
      </c>
      <c r="B75" s="793"/>
    </row>
    <row r="76" spans="1:6" s="544" customFormat="1" x14ac:dyDescent="0.25">
      <c r="A76" s="542" t="str">
        <f t="shared" si="4"/>
        <v>01-A-071</v>
      </c>
      <c r="B76" s="792"/>
    </row>
    <row r="77" spans="1:6" s="541" customFormat="1" x14ac:dyDescent="0.25">
      <c r="A77" s="539" t="str">
        <f t="shared" si="4"/>
        <v>01-A-072</v>
      </c>
      <c r="B77" s="793"/>
    </row>
    <row r="78" spans="1:6" s="544" customFormat="1" x14ac:dyDescent="0.25">
      <c r="A78" s="542" t="str">
        <f t="shared" si="4"/>
        <v>01-A-073</v>
      </c>
      <c r="B78" s="792"/>
    </row>
    <row r="79" spans="1:6" s="541" customFormat="1" x14ac:dyDescent="0.25">
      <c r="A79" s="539" t="str">
        <f t="shared" si="4"/>
        <v>01-A-074</v>
      </c>
      <c r="B79" s="793"/>
    </row>
    <row r="80" spans="1:6" s="544" customFormat="1" x14ac:dyDescent="0.25">
      <c r="A80" s="542" t="str">
        <f t="shared" si="4"/>
        <v>01-A-075</v>
      </c>
      <c r="B80" s="792"/>
    </row>
    <row r="81" spans="1:2" s="541" customFormat="1" x14ac:dyDescent="0.25">
      <c r="A81" s="539" t="str">
        <f t="shared" si="4"/>
        <v>01-A-076</v>
      </c>
      <c r="B81" s="793"/>
    </row>
    <row r="82" spans="1:2" s="544" customFormat="1" x14ac:dyDescent="0.25">
      <c r="A82" s="542" t="str">
        <f t="shared" si="4"/>
        <v>01-A-077</v>
      </c>
      <c r="B82" s="792"/>
    </row>
    <row r="83" spans="1:2" s="541" customFormat="1" x14ac:dyDescent="0.25">
      <c r="A83" s="539" t="str">
        <f t="shared" si="4"/>
        <v>01-A-078</v>
      </c>
      <c r="B83" s="793"/>
    </row>
    <row r="84" spans="1:2" s="544" customFormat="1" x14ac:dyDescent="0.25">
      <c r="A84" s="542" t="str">
        <f t="shared" si="4"/>
        <v>01-A-079</v>
      </c>
      <c r="B84" s="792"/>
    </row>
    <row r="85" spans="1:2" s="541" customFormat="1" x14ac:dyDescent="0.25">
      <c r="A85" s="539" t="str">
        <f t="shared" si="4"/>
        <v>01-A-080</v>
      </c>
      <c r="B85" s="793"/>
    </row>
    <row r="86" spans="1:2" s="544" customFormat="1" x14ac:dyDescent="0.25">
      <c r="A86" s="542" t="str">
        <f t="shared" si="4"/>
        <v>01-A-081</v>
      </c>
      <c r="B86" s="792"/>
    </row>
    <row r="87" spans="1:2" s="541" customFormat="1" x14ac:dyDescent="0.25">
      <c r="A87" s="539" t="str">
        <f t="shared" si="4"/>
        <v>01-A-082</v>
      </c>
      <c r="B87" s="793"/>
    </row>
    <row r="88" spans="1:2" s="544" customFormat="1" x14ac:dyDescent="0.25">
      <c r="A88" s="542" t="str">
        <f t="shared" si="4"/>
        <v>01-A-083</v>
      </c>
      <c r="B88" s="792"/>
    </row>
    <row r="89" spans="1:2" s="541" customFormat="1" x14ac:dyDescent="0.25">
      <c r="A89" s="539" t="str">
        <f t="shared" si="4"/>
        <v>01-A-084</v>
      </c>
      <c r="B89" s="793"/>
    </row>
    <row r="90" spans="1:2" s="544" customFormat="1" x14ac:dyDescent="0.25">
      <c r="A90" s="542" t="str">
        <f t="shared" si="4"/>
        <v>01-A-085</v>
      </c>
      <c r="B90" s="792"/>
    </row>
    <row r="91" spans="1:2" s="541" customFormat="1" x14ac:dyDescent="0.25">
      <c r="A91" s="539" t="str">
        <f t="shared" si="4"/>
        <v>01-A-086</v>
      </c>
      <c r="B91" s="793"/>
    </row>
    <row r="92" spans="1:2" s="544" customFormat="1" x14ac:dyDescent="0.25">
      <c r="A92" s="542" t="str">
        <f t="shared" si="4"/>
        <v>01-A-087</v>
      </c>
      <c r="B92" s="792"/>
    </row>
    <row r="93" spans="1:2" s="541" customFormat="1" x14ac:dyDescent="0.25">
      <c r="A93" s="539" t="str">
        <f t="shared" si="4"/>
        <v>01-A-088</v>
      </c>
      <c r="B93" s="793"/>
    </row>
    <row r="94" spans="1:2" s="544" customFormat="1" x14ac:dyDescent="0.25">
      <c r="A94" s="542" t="str">
        <f t="shared" si="4"/>
        <v>01-A-089</v>
      </c>
      <c r="B94" s="792"/>
    </row>
    <row r="95" spans="1:2" s="541" customFormat="1" x14ac:dyDescent="0.25">
      <c r="A95" s="539" t="str">
        <f t="shared" si="4"/>
        <v>01-A-090</v>
      </c>
      <c r="B95" s="793"/>
    </row>
    <row r="96" spans="1:2" s="544" customFormat="1" x14ac:dyDescent="0.25">
      <c r="A96" s="542" t="str">
        <f t="shared" si="4"/>
        <v>01-A-091</v>
      </c>
      <c r="B96" s="792"/>
    </row>
    <row r="97" spans="1:2" s="541" customFormat="1" x14ac:dyDescent="0.25">
      <c r="A97" s="539" t="str">
        <f t="shared" si="4"/>
        <v>01-A-092</v>
      </c>
      <c r="B97" s="793"/>
    </row>
    <row r="98" spans="1:2" s="544" customFormat="1" x14ac:dyDescent="0.25">
      <c r="A98" s="542" t="str">
        <f t="shared" si="4"/>
        <v>01-A-093</v>
      </c>
      <c r="B98" s="792"/>
    </row>
    <row r="99" spans="1:2" s="541" customFormat="1" x14ac:dyDescent="0.25">
      <c r="A99" s="539" t="str">
        <f t="shared" si="4"/>
        <v>01-A-094</v>
      </c>
      <c r="B99" s="793"/>
    </row>
    <row r="100" spans="1:2" s="544" customFormat="1" x14ac:dyDescent="0.25">
      <c r="A100" s="542" t="str">
        <f t="shared" si="4"/>
        <v>01-A-095</v>
      </c>
      <c r="B100" s="792"/>
    </row>
    <row r="101" spans="1:2" s="541" customFormat="1" x14ac:dyDescent="0.25">
      <c r="A101" s="539" t="str">
        <f t="shared" si="4"/>
        <v>01-A-096</v>
      </c>
      <c r="B101" s="793"/>
    </row>
    <row r="102" spans="1:2" s="544" customFormat="1" x14ac:dyDescent="0.25">
      <c r="A102" s="542" t="str">
        <f t="shared" si="4"/>
        <v>01-A-097</v>
      </c>
      <c r="B102" s="792"/>
    </row>
    <row r="103" spans="1:2" s="541" customFormat="1" x14ac:dyDescent="0.25">
      <c r="A103" s="539" t="str">
        <f t="shared" si="4"/>
        <v>01-A-098</v>
      </c>
      <c r="B103" s="793"/>
    </row>
    <row r="104" spans="1:2" s="544" customFormat="1" x14ac:dyDescent="0.25">
      <c r="A104" s="542" t="str">
        <f t="shared" si="4"/>
        <v>01-A-099</v>
      </c>
      <c r="B104" s="792"/>
    </row>
    <row r="105" spans="1:2" s="541" customFormat="1" x14ac:dyDescent="0.25">
      <c r="A105" s="539" t="str">
        <f t="shared" si="4"/>
        <v>01-A-100</v>
      </c>
      <c r="B105" s="793"/>
    </row>
    <row r="106" spans="1:2" s="544" customFormat="1" x14ac:dyDescent="0.25">
      <c r="A106" s="542" t="str">
        <f t="shared" si="4"/>
        <v>01-A-101</v>
      </c>
      <c r="B106" s="792"/>
    </row>
    <row r="107" spans="1:2" s="541" customFormat="1" x14ac:dyDescent="0.25">
      <c r="A107" s="539" t="str">
        <f t="shared" si="4"/>
        <v>01-A-102</v>
      </c>
      <c r="B107" s="793"/>
    </row>
    <row r="108" spans="1:2" s="544" customFormat="1" x14ac:dyDescent="0.25">
      <c r="A108" s="542" t="str">
        <f t="shared" si="4"/>
        <v>01-A-103</v>
      </c>
      <c r="B108" s="792"/>
    </row>
    <row r="109" spans="1:2" s="541" customFormat="1" x14ac:dyDescent="0.25">
      <c r="A109" s="539" t="str">
        <f t="shared" si="4"/>
        <v>01-A-104</v>
      </c>
      <c r="B109" s="793"/>
    </row>
    <row r="110" spans="1:2" s="544" customFormat="1" x14ac:dyDescent="0.25">
      <c r="A110" s="542" t="str">
        <f t="shared" si="4"/>
        <v>01-A-105</v>
      </c>
      <c r="B110" s="792"/>
    </row>
    <row r="111" spans="1:2" s="541" customFormat="1" x14ac:dyDescent="0.25">
      <c r="A111" s="539" t="str">
        <f t="shared" si="4"/>
        <v>01-A-106</v>
      </c>
      <c r="B111" s="793"/>
    </row>
    <row r="112" spans="1:2" s="544" customFormat="1" x14ac:dyDescent="0.25">
      <c r="A112" s="542" t="str">
        <f t="shared" si="4"/>
        <v>01-A-107</v>
      </c>
      <c r="B112" s="792"/>
    </row>
    <row r="113" spans="1:2" s="541" customFormat="1" x14ac:dyDescent="0.25">
      <c r="A113" s="539" t="str">
        <f t="shared" si="4"/>
        <v>01-A-108</v>
      </c>
      <c r="B113" s="793"/>
    </row>
    <row r="114" spans="1:2" s="544" customFormat="1" x14ac:dyDescent="0.25">
      <c r="A114" s="542" t="str">
        <f t="shared" si="4"/>
        <v>01-A-109</v>
      </c>
      <c r="B114" s="792"/>
    </row>
    <row r="115" spans="1:2" s="541" customFormat="1" x14ac:dyDescent="0.25">
      <c r="A115" s="539" t="str">
        <f t="shared" si="4"/>
        <v>01-A-110</v>
      </c>
      <c r="B115" s="793"/>
    </row>
    <row r="116" spans="1:2" s="544" customFormat="1" x14ac:dyDescent="0.25">
      <c r="A116" s="542" t="str">
        <f t="shared" si="4"/>
        <v>01-A-111</v>
      </c>
      <c r="B116" s="792"/>
    </row>
    <row r="117" spans="1:2" s="541" customFormat="1" x14ac:dyDescent="0.25">
      <c r="A117" s="539" t="str">
        <f t="shared" si="4"/>
        <v>01-A-112</v>
      </c>
      <c r="B117" s="793"/>
    </row>
    <row r="118" spans="1:2" s="544" customFormat="1" x14ac:dyDescent="0.25">
      <c r="A118" s="542" t="str">
        <f t="shared" si="4"/>
        <v>01-A-113</v>
      </c>
      <c r="B118" s="792"/>
    </row>
    <row r="119" spans="1:2" s="541" customFormat="1" x14ac:dyDescent="0.25">
      <c r="A119" s="539" t="str">
        <f t="shared" si="4"/>
        <v>01-A-114</v>
      </c>
      <c r="B119" s="793"/>
    </row>
    <row r="120" spans="1:2" s="544" customFormat="1" x14ac:dyDescent="0.25">
      <c r="A120" s="542" t="str">
        <f t="shared" si="4"/>
        <v>01-A-115</v>
      </c>
      <c r="B120" s="792"/>
    </row>
    <row r="121" spans="1:2" s="541" customFormat="1" x14ac:dyDescent="0.25">
      <c r="A121" s="539" t="str">
        <f t="shared" si="4"/>
        <v>01-A-116</v>
      </c>
      <c r="B121" s="793"/>
    </row>
    <row r="122" spans="1:2" s="544" customFormat="1" x14ac:dyDescent="0.25">
      <c r="A122" s="542" t="str">
        <f t="shared" si="4"/>
        <v>01-A-117</v>
      </c>
      <c r="B122" s="792"/>
    </row>
    <row r="123" spans="1:2" s="541" customFormat="1" x14ac:dyDescent="0.25">
      <c r="A123" s="539" t="str">
        <f t="shared" si="4"/>
        <v>01-A-118</v>
      </c>
      <c r="B123" s="793"/>
    </row>
    <row r="124" spans="1:2" s="544" customFormat="1" x14ac:dyDescent="0.25">
      <c r="A124" s="542" t="str">
        <f t="shared" si="4"/>
        <v>01-A-119</v>
      </c>
      <c r="B124" s="792"/>
    </row>
    <row r="125" spans="1:2" s="541" customFormat="1" x14ac:dyDescent="0.25">
      <c r="A125" s="539" t="str">
        <f t="shared" si="4"/>
        <v>01-A-120</v>
      </c>
      <c r="B125" s="793"/>
    </row>
    <row r="126" spans="1:2" s="544" customFormat="1" x14ac:dyDescent="0.25">
      <c r="A126" s="542" t="str">
        <f t="shared" si="4"/>
        <v>01-A-121</v>
      </c>
      <c r="B126" s="792"/>
    </row>
    <row r="127" spans="1:2" s="541" customFormat="1" x14ac:dyDescent="0.25">
      <c r="A127" s="539" t="str">
        <f t="shared" si="4"/>
        <v>01-A-122</v>
      </c>
      <c r="B127" s="793"/>
    </row>
    <row r="128" spans="1:2" s="544" customFormat="1" x14ac:dyDescent="0.25">
      <c r="A128" s="542" t="str">
        <f t="shared" si="4"/>
        <v>01-A-123</v>
      </c>
      <c r="B128" s="792"/>
    </row>
    <row r="129" spans="1:2" s="541" customFormat="1" x14ac:dyDescent="0.25">
      <c r="A129" s="539" t="str">
        <f t="shared" si="4"/>
        <v>01-A-124</v>
      </c>
      <c r="B129" s="793"/>
    </row>
    <row r="130" spans="1:2" s="544" customFormat="1" x14ac:dyDescent="0.25">
      <c r="A130" s="542" t="str">
        <f t="shared" si="4"/>
        <v>01-A-125</v>
      </c>
      <c r="B130" s="792"/>
    </row>
    <row r="131" spans="1:2" s="541" customFormat="1" x14ac:dyDescent="0.25">
      <c r="A131" s="539" t="str">
        <f t="shared" si="4"/>
        <v>01-A-126</v>
      </c>
      <c r="B131" s="793"/>
    </row>
    <row r="132" spans="1:2" s="544" customFormat="1" x14ac:dyDescent="0.25">
      <c r="A132" s="542" t="str">
        <f t="shared" si="4"/>
        <v>01-A-127</v>
      </c>
      <c r="B132" s="792"/>
    </row>
    <row r="133" spans="1:2" s="541" customFormat="1" x14ac:dyDescent="0.25">
      <c r="A133" s="539" t="str">
        <f t="shared" si="4"/>
        <v>01-A-128</v>
      </c>
      <c r="B133" s="793"/>
    </row>
    <row r="134" spans="1:2" s="544" customFormat="1" x14ac:dyDescent="0.25">
      <c r="A134" s="542" t="str">
        <f t="shared" si="4"/>
        <v>01-A-129</v>
      </c>
      <c r="B134" s="792"/>
    </row>
    <row r="135" spans="1:2" s="541" customFormat="1" x14ac:dyDescent="0.25">
      <c r="A135" s="539" t="str">
        <f t="shared" ref="A135:A198" si="5">LEFT(A134,5)&amp;RIGHT("000"&amp;RIGHT(A134,3)*1+1,3)</f>
        <v>01-A-130</v>
      </c>
      <c r="B135" s="793"/>
    </row>
    <row r="136" spans="1:2" s="544" customFormat="1" x14ac:dyDescent="0.25">
      <c r="A136" s="542" t="str">
        <f t="shared" si="5"/>
        <v>01-A-131</v>
      </c>
      <c r="B136" s="792"/>
    </row>
    <row r="137" spans="1:2" s="541" customFormat="1" x14ac:dyDescent="0.25">
      <c r="A137" s="539" t="str">
        <f t="shared" si="5"/>
        <v>01-A-132</v>
      </c>
      <c r="B137" s="793"/>
    </row>
    <row r="138" spans="1:2" s="544" customFormat="1" x14ac:dyDescent="0.25">
      <c r="A138" s="542" t="str">
        <f t="shared" si="5"/>
        <v>01-A-133</v>
      </c>
      <c r="B138" s="792"/>
    </row>
    <row r="139" spans="1:2" s="541" customFormat="1" x14ac:dyDescent="0.25">
      <c r="A139" s="539" t="str">
        <f t="shared" si="5"/>
        <v>01-A-134</v>
      </c>
      <c r="B139" s="793"/>
    </row>
    <row r="140" spans="1:2" s="544" customFormat="1" x14ac:dyDescent="0.25">
      <c r="A140" s="542" t="str">
        <f t="shared" si="5"/>
        <v>01-A-135</v>
      </c>
      <c r="B140" s="792"/>
    </row>
    <row r="141" spans="1:2" s="541" customFormat="1" x14ac:dyDescent="0.25">
      <c r="A141" s="539" t="str">
        <f t="shared" si="5"/>
        <v>01-A-136</v>
      </c>
      <c r="B141" s="793"/>
    </row>
    <row r="142" spans="1:2" s="544" customFormat="1" x14ac:dyDescent="0.25">
      <c r="A142" s="542" t="str">
        <f t="shared" si="5"/>
        <v>01-A-137</v>
      </c>
      <c r="B142" s="792"/>
    </row>
    <row r="143" spans="1:2" s="541" customFormat="1" x14ac:dyDescent="0.25">
      <c r="A143" s="539" t="str">
        <f t="shared" si="5"/>
        <v>01-A-138</v>
      </c>
      <c r="B143" s="793"/>
    </row>
    <row r="144" spans="1:2" s="544" customFormat="1" x14ac:dyDescent="0.25">
      <c r="A144" s="542" t="str">
        <f t="shared" si="5"/>
        <v>01-A-139</v>
      </c>
      <c r="B144" s="792"/>
    </row>
    <row r="145" spans="1:2" s="541" customFormat="1" x14ac:dyDescent="0.25">
      <c r="A145" s="539" t="str">
        <f t="shared" si="5"/>
        <v>01-A-140</v>
      </c>
      <c r="B145" s="793"/>
    </row>
    <row r="146" spans="1:2" s="544" customFormat="1" x14ac:dyDescent="0.25">
      <c r="A146" s="542" t="str">
        <f t="shared" si="5"/>
        <v>01-A-141</v>
      </c>
      <c r="B146" s="792"/>
    </row>
    <row r="147" spans="1:2" s="541" customFormat="1" x14ac:dyDescent="0.25">
      <c r="A147" s="539" t="str">
        <f t="shared" si="5"/>
        <v>01-A-142</v>
      </c>
      <c r="B147" s="793"/>
    </row>
    <row r="148" spans="1:2" s="544" customFormat="1" x14ac:dyDescent="0.25">
      <c r="A148" s="542" t="str">
        <f t="shared" si="5"/>
        <v>01-A-143</v>
      </c>
      <c r="B148" s="792"/>
    </row>
    <row r="149" spans="1:2" s="541" customFormat="1" x14ac:dyDescent="0.25">
      <c r="A149" s="539" t="str">
        <f t="shared" si="5"/>
        <v>01-A-144</v>
      </c>
      <c r="B149" s="793"/>
    </row>
    <row r="150" spans="1:2" s="544" customFormat="1" x14ac:dyDescent="0.25">
      <c r="A150" s="542" t="str">
        <f t="shared" si="5"/>
        <v>01-A-145</v>
      </c>
      <c r="B150" s="792"/>
    </row>
    <row r="151" spans="1:2" s="541" customFormat="1" x14ac:dyDescent="0.25">
      <c r="A151" s="539" t="str">
        <f t="shared" si="5"/>
        <v>01-A-146</v>
      </c>
      <c r="B151" s="793"/>
    </row>
    <row r="152" spans="1:2" s="544" customFormat="1" x14ac:dyDescent="0.25">
      <c r="A152" s="542" t="str">
        <f t="shared" si="5"/>
        <v>01-A-147</v>
      </c>
      <c r="B152" s="792"/>
    </row>
    <row r="153" spans="1:2" s="541" customFormat="1" x14ac:dyDescent="0.25">
      <c r="A153" s="539" t="str">
        <f t="shared" si="5"/>
        <v>01-A-148</v>
      </c>
      <c r="B153" s="793"/>
    </row>
    <row r="154" spans="1:2" s="544" customFormat="1" x14ac:dyDescent="0.25">
      <c r="A154" s="542" t="str">
        <f t="shared" si="5"/>
        <v>01-A-149</v>
      </c>
      <c r="B154" s="792"/>
    </row>
    <row r="155" spans="1:2" s="541" customFormat="1" x14ac:dyDescent="0.25">
      <c r="A155" s="539" t="str">
        <f t="shared" si="5"/>
        <v>01-A-150</v>
      </c>
      <c r="B155" s="793"/>
    </row>
    <row r="156" spans="1:2" s="544" customFormat="1" x14ac:dyDescent="0.25">
      <c r="A156" s="542" t="str">
        <f t="shared" si="5"/>
        <v>01-A-151</v>
      </c>
      <c r="B156" s="792"/>
    </row>
    <row r="157" spans="1:2" s="541" customFormat="1" x14ac:dyDescent="0.25">
      <c r="A157" s="539" t="str">
        <f t="shared" si="5"/>
        <v>01-A-152</v>
      </c>
      <c r="B157" s="793"/>
    </row>
    <row r="158" spans="1:2" s="544" customFormat="1" x14ac:dyDescent="0.25">
      <c r="A158" s="542" t="str">
        <f t="shared" si="5"/>
        <v>01-A-153</v>
      </c>
      <c r="B158" s="792"/>
    </row>
    <row r="159" spans="1:2" s="541" customFormat="1" x14ac:dyDescent="0.25">
      <c r="A159" s="539" t="str">
        <f t="shared" si="5"/>
        <v>01-A-154</v>
      </c>
      <c r="B159" s="793"/>
    </row>
    <row r="160" spans="1:2" s="544" customFormat="1" x14ac:dyDescent="0.25">
      <c r="A160" s="542" t="str">
        <f t="shared" si="5"/>
        <v>01-A-155</v>
      </c>
      <c r="B160" s="792"/>
    </row>
    <row r="161" spans="1:2" s="541" customFormat="1" x14ac:dyDescent="0.25">
      <c r="A161" s="539" t="str">
        <f t="shared" si="5"/>
        <v>01-A-156</v>
      </c>
      <c r="B161" s="793"/>
    </row>
    <row r="162" spans="1:2" s="544" customFormat="1" x14ac:dyDescent="0.25">
      <c r="A162" s="542" t="str">
        <f t="shared" si="5"/>
        <v>01-A-157</v>
      </c>
      <c r="B162" s="792"/>
    </row>
    <row r="163" spans="1:2" s="541" customFormat="1" x14ac:dyDescent="0.25">
      <c r="A163" s="539" t="str">
        <f t="shared" si="5"/>
        <v>01-A-158</v>
      </c>
      <c r="B163" s="793"/>
    </row>
    <row r="164" spans="1:2" s="544" customFormat="1" x14ac:dyDescent="0.25">
      <c r="A164" s="542" t="str">
        <f t="shared" si="5"/>
        <v>01-A-159</v>
      </c>
      <c r="B164" s="792"/>
    </row>
    <row r="165" spans="1:2" s="541" customFormat="1" x14ac:dyDescent="0.25">
      <c r="A165" s="539" t="str">
        <f t="shared" si="5"/>
        <v>01-A-160</v>
      </c>
      <c r="B165" s="793"/>
    </row>
    <row r="166" spans="1:2" s="544" customFormat="1" x14ac:dyDescent="0.25">
      <c r="A166" s="542" t="str">
        <f t="shared" si="5"/>
        <v>01-A-161</v>
      </c>
      <c r="B166" s="792"/>
    </row>
    <row r="167" spans="1:2" s="541" customFormat="1" x14ac:dyDescent="0.25">
      <c r="A167" s="539" t="str">
        <f t="shared" si="5"/>
        <v>01-A-162</v>
      </c>
      <c r="B167" s="793"/>
    </row>
    <row r="168" spans="1:2" s="544" customFormat="1" x14ac:dyDescent="0.25">
      <c r="A168" s="542" t="str">
        <f t="shared" si="5"/>
        <v>01-A-163</v>
      </c>
      <c r="B168" s="792"/>
    </row>
    <row r="169" spans="1:2" s="541" customFormat="1" x14ac:dyDescent="0.25">
      <c r="A169" s="539" t="str">
        <f t="shared" si="5"/>
        <v>01-A-164</v>
      </c>
      <c r="B169" s="793"/>
    </row>
    <row r="170" spans="1:2" s="544" customFormat="1" x14ac:dyDescent="0.25">
      <c r="A170" s="542" t="str">
        <f t="shared" si="5"/>
        <v>01-A-165</v>
      </c>
      <c r="B170" s="792"/>
    </row>
    <row r="171" spans="1:2" s="541" customFormat="1" x14ac:dyDescent="0.25">
      <c r="A171" s="539" t="str">
        <f t="shared" si="5"/>
        <v>01-A-166</v>
      </c>
      <c r="B171" s="793"/>
    </row>
    <row r="172" spans="1:2" s="544" customFormat="1" x14ac:dyDescent="0.25">
      <c r="A172" s="542" t="str">
        <f t="shared" si="5"/>
        <v>01-A-167</v>
      </c>
      <c r="B172" s="792"/>
    </row>
    <row r="173" spans="1:2" s="541" customFormat="1" x14ac:dyDescent="0.25">
      <c r="A173" s="539" t="str">
        <f t="shared" si="5"/>
        <v>01-A-168</v>
      </c>
      <c r="B173" s="793"/>
    </row>
    <row r="174" spans="1:2" s="544" customFormat="1" x14ac:dyDescent="0.25">
      <c r="A174" s="542" t="str">
        <f t="shared" si="5"/>
        <v>01-A-169</v>
      </c>
      <c r="B174" s="792"/>
    </row>
    <row r="175" spans="1:2" s="541" customFormat="1" x14ac:dyDescent="0.25">
      <c r="A175" s="539" t="str">
        <f t="shared" si="5"/>
        <v>01-A-170</v>
      </c>
      <c r="B175" s="793"/>
    </row>
    <row r="176" spans="1:2" s="544" customFormat="1" x14ac:dyDescent="0.25">
      <c r="A176" s="542" t="str">
        <f t="shared" si="5"/>
        <v>01-A-171</v>
      </c>
      <c r="B176" s="792"/>
    </row>
    <row r="177" spans="1:2" s="541" customFormat="1" x14ac:dyDescent="0.25">
      <c r="A177" s="539" t="str">
        <f t="shared" si="5"/>
        <v>01-A-172</v>
      </c>
      <c r="B177" s="793"/>
    </row>
    <row r="178" spans="1:2" s="544" customFormat="1" x14ac:dyDescent="0.25">
      <c r="A178" s="542" t="str">
        <f t="shared" si="5"/>
        <v>01-A-173</v>
      </c>
      <c r="B178" s="792"/>
    </row>
    <row r="179" spans="1:2" s="541" customFormat="1" x14ac:dyDescent="0.25">
      <c r="A179" s="539" t="str">
        <f t="shared" si="5"/>
        <v>01-A-174</v>
      </c>
      <c r="B179" s="793"/>
    </row>
    <row r="180" spans="1:2" s="544" customFormat="1" x14ac:dyDescent="0.25">
      <c r="A180" s="542" t="str">
        <f t="shared" si="5"/>
        <v>01-A-175</v>
      </c>
      <c r="B180" s="792"/>
    </row>
    <row r="181" spans="1:2" s="541" customFormat="1" x14ac:dyDescent="0.25">
      <c r="A181" s="539" t="str">
        <f t="shared" si="5"/>
        <v>01-A-176</v>
      </c>
      <c r="B181" s="793"/>
    </row>
    <row r="182" spans="1:2" s="544" customFormat="1" x14ac:dyDescent="0.25">
      <c r="A182" s="542" t="str">
        <f t="shared" si="5"/>
        <v>01-A-177</v>
      </c>
      <c r="B182" s="792"/>
    </row>
    <row r="183" spans="1:2" s="541" customFormat="1" x14ac:dyDescent="0.25">
      <c r="A183" s="539" t="str">
        <f t="shared" si="5"/>
        <v>01-A-178</v>
      </c>
      <c r="B183" s="793"/>
    </row>
    <row r="184" spans="1:2" s="544" customFormat="1" x14ac:dyDescent="0.25">
      <c r="A184" s="542" t="str">
        <f t="shared" si="5"/>
        <v>01-A-179</v>
      </c>
      <c r="B184" s="792"/>
    </row>
    <row r="185" spans="1:2" s="541" customFormat="1" x14ac:dyDescent="0.25">
      <c r="A185" s="539" t="str">
        <f t="shared" si="5"/>
        <v>01-A-180</v>
      </c>
      <c r="B185" s="793"/>
    </row>
    <row r="186" spans="1:2" s="544" customFormat="1" x14ac:dyDescent="0.25">
      <c r="A186" s="542" t="str">
        <f t="shared" si="5"/>
        <v>01-A-181</v>
      </c>
      <c r="B186" s="792"/>
    </row>
    <row r="187" spans="1:2" s="541" customFormat="1" x14ac:dyDescent="0.25">
      <c r="A187" s="539" t="str">
        <f t="shared" si="5"/>
        <v>01-A-182</v>
      </c>
      <c r="B187" s="793"/>
    </row>
    <row r="188" spans="1:2" s="544" customFormat="1" x14ac:dyDescent="0.25">
      <c r="A188" s="542" t="str">
        <f t="shared" si="5"/>
        <v>01-A-183</v>
      </c>
      <c r="B188" s="792"/>
    </row>
    <row r="189" spans="1:2" s="541" customFormat="1" x14ac:dyDescent="0.25">
      <c r="A189" s="539" t="str">
        <f t="shared" si="5"/>
        <v>01-A-184</v>
      </c>
      <c r="B189" s="793"/>
    </row>
    <row r="190" spans="1:2" s="544" customFormat="1" x14ac:dyDescent="0.25">
      <c r="A190" s="542" t="str">
        <f t="shared" si="5"/>
        <v>01-A-185</v>
      </c>
      <c r="B190" s="792"/>
    </row>
    <row r="191" spans="1:2" s="541" customFormat="1" x14ac:dyDescent="0.25">
      <c r="A191" s="539" t="str">
        <f t="shared" si="5"/>
        <v>01-A-186</v>
      </c>
      <c r="B191" s="793"/>
    </row>
    <row r="192" spans="1:2" s="544" customFormat="1" x14ac:dyDescent="0.25">
      <c r="A192" s="542" t="str">
        <f t="shared" si="5"/>
        <v>01-A-187</v>
      </c>
      <c r="B192" s="792"/>
    </row>
    <row r="193" spans="1:2" s="541" customFormat="1" x14ac:dyDescent="0.25">
      <c r="A193" s="539" t="str">
        <f t="shared" si="5"/>
        <v>01-A-188</v>
      </c>
      <c r="B193" s="793"/>
    </row>
    <row r="194" spans="1:2" s="544" customFormat="1" x14ac:dyDescent="0.25">
      <c r="A194" s="542" t="str">
        <f t="shared" si="5"/>
        <v>01-A-189</v>
      </c>
      <c r="B194" s="792"/>
    </row>
    <row r="195" spans="1:2" s="541" customFormat="1" x14ac:dyDescent="0.25">
      <c r="A195" s="539" t="str">
        <f t="shared" si="5"/>
        <v>01-A-190</v>
      </c>
      <c r="B195" s="793"/>
    </row>
    <row r="196" spans="1:2" s="544" customFormat="1" x14ac:dyDescent="0.25">
      <c r="A196" s="542" t="str">
        <f t="shared" si="5"/>
        <v>01-A-191</v>
      </c>
      <c r="B196" s="792"/>
    </row>
    <row r="197" spans="1:2" s="541" customFormat="1" x14ac:dyDescent="0.25">
      <c r="A197" s="539" t="str">
        <f t="shared" si="5"/>
        <v>01-A-192</v>
      </c>
      <c r="B197" s="793"/>
    </row>
    <row r="198" spans="1:2" s="544" customFormat="1" x14ac:dyDescent="0.25">
      <c r="A198" s="542" t="str">
        <f t="shared" si="5"/>
        <v>01-A-193</v>
      </c>
      <c r="B198" s="792"/>
    </row>
    <row r="199" spans="1:2" s="541" customFormat="1" x14ac:dyDescent="0.25">
      <c r="A199" s="539" t="str">
        <f t="shared" ref="A199:A250" si="6">LEFT(A198,5)&amp;RIGHT("000"&amp;RIGHT(A198,3)*1+1,3)</f>
        <v>01-A-194</v>
      </c>
      <c r="B199" s="793"/>
    </row>
    <row r="200" spans="1:2" s="544" customFormat="1" x14ac:dyDescent="0.25">
      <c r="A200" s="542" t="str">
        <f t="shared" si="6"/>
        <v>01-A-195</v>
      </c>
      <c r="B200" s="792"/>
    </row>
    <row r="201" spans="1:2" s="541" customFormat="1" x14ac:dyDescent="0.25">
      <c r="A201" s="539" t="str">
        <f t="shared" si="6"/>
        <v>01-A-196</v>
      </c>
      <c r="B201" s="793"/>
    </row>
    <row r="202" spans="1:2" s="544" customFormat="1" x14ac:dyDescent="0.25">
      <c r="A202" s="542" t="str">
        <f t="shared" si="6"/>
        <v>01-A-197</v>
      </c>
      <c r="B202" s="792"/>
    </row>
    <row r="203" spans="1:2" s="541" customFormat="1" x14ac:dyDescent="0.25">
      <c r="A203" s="539" t="str">
        <f t="shared" si="6"/>
        <v>01-A-198</v>
      </c>
      <c r="B203" s="793"/>
    </row>
    <row r="204" spans="1:2" s="544" customFormat="1" x14ac:dyDescent="0.25">
      <c r="A204" s="542" t="str">
        <f t="shared" si="6"/>
        <v>01-A-199</v>
      </c>
      <c r="B204" s="792"/>
    </row>
    <row r="205" spans="1:2" s="541" customFormat="1" x14ac:dyDescent="0.25">
      <c r="A205" s="539" t="str">
        <f t="shared" si="6"/>
        <v>01-A-200</v>
      </c>
      <c r="B205" s="793"/>
    </row>
    <row r="206" spans="1:2" s="544" customFormat="1" x14ac:dyDescent="0.25">
      <c r="A206" s="542" t="str">
        <f t="shared" si="6"/>
        <v>01-A-201</v>
      </c>
      <c r="B206" s="792"/>
    </row>
    <row r="207" spans="1:2" s="541" customFormat="1" x14ac:dyDescent="0.25">
      <c r="A207" s="539" t="str">
        <f t="shared" si="6"/>
        <v>01-A-202</v>
      </c>
      <c r="B207" s="793"/>
    </row>
    <row r="208" spans="1:2" s="544" customFormat="1" x14ac:dyDescent="0.25">
      <c r="A208" s="542" t="str">
        <f t="shared" si="6"/>
        <v>01-A-203</v>
      </c>
      <c r="B208" s="792"/>
    </row>
    <row r="209" spans="1:2" s="541" customFormat="1" x14ac:dyDescent="0.25">
      <c r="A209" s="539" t="str">
        <f t="shared" si="6"/>
        <v>01-A-204</v>
      </c>
      <c r="B209" s="793"/>
    </row>
    <row r="210" spans="1:2" s="544" customFormat="1" x14ac:dyDescent="0.25">
      <c r="A210" s="542" t="str">
        <f t="shared" si="6"/>
        <v>01-A-205</v>
      </c>
      <c r="B210" s="792"/>
    </row>
    <row r="211" spans="1:2" s="541" customFormat="1" x14ac:dyDescent="0.25">
      <c r="A211" s="539" t="str">
        <f t="shared" si="6"/>
        <v>01-A-206</v>
      </c>
      <c r="B211" s="793"/>
    </row>
    <row r="212" spans="1:2" s="544" customFormat="1" x14ac:dyDescent="0.25">
      <c r="A212" s="542" t="str">
        <f t="shared" si="6"/>
        <v>01-A-207</v>
      </c>
      <c r="B212" s="792"/>
    </row>
    <row r="213" spans="1:2" s="541" customFormat="1" x14ac:dyDescent="0.25">
      <c r="A213" s="539" t="str">
        <f t="shared" si="6"/>
        <v>01-A-208</v>
      </c>
      <c r="B213" s="793"/>
    </row>
    <row r="214" spans="1:2" s="544" customFormat="1" x14ac:dyDescent="0.25">
      <c r="A214" s="542" t="str">
        <f t="shared" si="6"/>
        <v>01-A-209</v>
      </c>
      <c r="B214" s="792"/>
    </row>
    <row r="215" spans="1:2" s="541" customFormat="1" x14ac:dyDescent="0.25">
      <c r="A215" s="539" t="str">
        <f t="shared" si="6"/>
        <v>01-A-210</v>
      </c>
      <c r="B215" s="793"/>
    </row>
    <row r="216" spans="1:2" s="544" customFormat="1" x14ac:dyDescent="0.25">
      <c r="A216" s="542" t="str">
        <f t="shared" si="6"/>
        <v>01-A-211</v>
      </c>
      <c r="B216" s="792"/>
    </row>
    <row r="217" spans="1:2" s="541" customFormat="1" x14ac:dyDescent="0.25">
      <c r="A217" s="539" t="str">
        <f t="shared" si="6"/>
        <v>01-A-212</v>
      </c>
      <c r="B217" s="793"/>
    </row>
    <row r="218" spans="1:2" s="544" customFormat="1" x14ac:dyDescent="0.25">
      <c r="A218" s="542" t="str">
        <f t="shared" si="6"/>
        <v>01-A-213</v>
      </c>
      <c r="B218" s="792"/>
    </row>
    <row r="219" spans="1:2" s="541" customFormat="1" x14ac:dyDescent="0.25">
      <c r="A219" s="539" t="str">
        <f t="shared" si="6"/>
        <v>01-A-214</v>
      </c>
      <c r="B219" s="793"/>
    </row>
    <row r="220" spans="1:2" s="544" customFormat="1" x14ac:dyDescent="0.25">
      <c r="A220" s="542" t="str">
        <f t="shared" si="6"/>
        <v>01-A-215</v>
      </c>
      <c r="B220" s="792"/>
    </row>
    <row r="221" spans="1:2" s="541" customFormat="1" x14ac:dyDescent="0.25">
      <c r="A221" s="539" t="str">
        <f t="shared" si="6"/>
        <v>01-A-216</v>
      </c>
      <c r="B221" s="793"/>
    </row>
    <row r="222" spans="1:2" s="544" customFormat="1" x14ac:dyDescent="0.25">
      <c r="A222" s="542" t="str">
        <f t="shared" si="6"/>
        <v>01-A-217</v>
      </c>
      <c r="B222" s="792"/>
    </row>
    <row r="223" spans="1:2" s="541" customFormat="1" x14ac:dyDescent="0.25">
      <c r="A223" s="539" t="str">
        <f t="shared" si="6"/>
        <v>01-A-218</v>
      </c>
      <c r="B223" s="793"/>
    </row>
    <row r="224" spans="1:2" s="544" customFormat="1" x14ac:dyDescent="0.25">
      <c r="A224" s="542" t="str">
        <f t="shared" si="6"/>
        <v>01-A-219</v>
      </c>
      <c r="B224" s="792"/>
    </row>
    <row r="225" spans="1:2" s="541" customFormat="1" x14ac:dyDescent="0.25">
      <c r="A225" s="539" t="str">
        <f t="shared" si="6"/>
        <v>01-A-220</v>
      </c>
      <c r="B225" s="793"/>
    </row>
    <row r="226" spans="1:2" s="544" customFormat="1" x14ac:dyDescent="0.25">
      <c r="A226" s="542" t="str">
        <f t="shared" si="6"/>
        <v>01-A-221</v>
      </c>
      <c r="B226" s="792"/>
    </row>
    <row r="227" spans="1:2" s="541" customFormat="1" x14ac:dyDescent="0.25">
      <c r="A227" s="539" t="str">
        <f t="shared" si="6"/>
        <v>01-A-222</v>
      </c>
      <c r="B227" s="793"/>
    </row>
    <row r="228" spans="1:2" s="544" customFormat="1" x14ac:dyDescent="0.25">
      <c r="A228" s="542" t="str">
        <f t="shared" si="6"/>
        <v>01-A-223</v>
      </c>
      <c r="B228" s="792"/>
    </row>
    <row r="229" spans="1:2" s="541" customFormat="1" x14ac:dyDescent="0.25">
      <c r="A229" s="539" t="str">
        <f t="shared" si="6"/>
        <v>01-A-224</v>
      </c>
      <c r="B229" s="793"/>
    </row>
    <row r="230" spans="1:2" s="544" customFormat="1" x14ac:dyDescent="0.25">
      <c r="A230" s="542" t="str">
        <f t="shared" si="6"/>
        <v>01-A-225</v>
      </c>
      <c r="B230" s="792"/>
    </row>
    <row r="231" spans="1:2" s="541" customFormat="1" x14ac:dyDescent="0.25">
      <c r="A231" s="539" t="str">
        <f t="shared" si="6"/>
        <v>01-A-226</v>
      </c>
      <c r="B231" s="793"/>
    </row>
    <row r="232" spans="1:2" s="544" customFormat="1" x14ac:dyDescent="0.25">
      <c r="A232" s="542" t="str">
        <f t="shared" si="6"/>
        <v>01-A-227</v>
      </c>
      <c r="B232" s="792"/>
    </row>
    <row r="233" spans="1:2" s="541" customFormat="1" x14ac:dyDescent="0.25">
      <c r="A233" s="539" t="str">
        <f t="shared" si="6"/>
        <v>01-A-228</v>
      </c>
      <c r="B233" s="793"/>
    </row>
    <row r="234" spans="1:2" s="544" customFormat="1" x14ac:dyDescent="0.25">
      <c r="A234" s="542" t="str">
        <f t="shared" si="6"/>
        <v>01-A-229</v>
      </c>
      <c r="B234" s="792"/>
    </row>
    <row r="235" spans="1:2" s="541" customFormat="1" x14ac:dyDescent="0.25">
      <c r="A235" s="539" t="str">
        <f t="shared" si="6"/>
        <v>01-A-230</v>
      </c>
      <c r="B235" s="793"/>
    </row>
    <row r="236" spans="1:2" s="544" customFormat="1" x14ac:dyDescent="0.25">
      <c r="A236" s="542" t="str">
        <f t="shared" si="6"/>
        <v>01-A-231</v>
      </c>
      <c r="B236" s="792"/>
    </row>
    <row r="237" spans="1:2" s="541" customFormat="1" x14ac:dyDescent="0.25">
      <c r="A237" s="539" t="str">
        <f t="shared" si="6"/>
        <v>01-A-232</v>
      </c>
      <c r="B237" s="793"/>
    </row>
    <row r="238" spans="1:2" s="544" customFormat="1" x14ac:dyDescent="0.25">
      <c r="A238" s="542" t="str">
        <f t="shared" si="6"/>
        <v>01-A-233</v>
      </c>
      <c r="B238" s="792"/>
    </row>
    <row r="239" spans="1:2" s="541" customFormat="1" x14ac:dyDescent="0.25">
      <c r="A239" s="539" t="str">
        <f t="shared" si="6"/>
        <v>01-A-234</v>
      </c>
      <c r="B239" s="793"/>
    </row>
    <row r="240" spans="1:2" s="544" customFormat="1" x14ac:dyDescent="0.25">
      <c r="A240" s="542" t="str">
        <f t="shared" si="6"/>
        <v>01-A-235</v>
      </c>
      <c r="B240" s="792"/>
    </row>
    <row r="241" spans="1:2" s="541" customFormat="1" x14ac:dyDescent="0.25">
      <c r="A241" s="539" t="str">
        <f t="shared" si="6"/>
        <v>01-A-236</v>
      </c>
      <c r="B241" s="793"/>
    </row>
    <row r="242" spans="1:2" s="544" customFormat="1" x14ac:dyDescent="0.25">
      <c r="A242" s="542" t="str">
        <f t="shared" si="6"/>
        <v>01-A-237</v>
      </c>
      <c r="B242" s="792"/>
    </row>
    <row r="243" spans="1:2" s="541" customFormat="1" x14ac:dyDescent="0.25">
      <c r="A243" s="539" t="str">
        <f t="shared" si="6"/>
        <v>01-A-238</v>
      </c>
      <c r="B243" s="793"/>
    </row>
    <row r="244" spans="1:2" s="544" customFormat="1" x14ac:dyDescent="0.25">
      <c r="A244" s="542" t="str">
        <f t="shared" si="6"/>
        <v>01-A-239</v>
      </c>
      <c r="B244" s="792"/>
    </row>
    <row r="245" spans="1:2" s="541" customFormat="1" x14ac:dyDescent="0.25">
      <c r="A245" s="539" t="str">
        <f t="shared" si="6"/>
        <v>01-A-240</v>
      </c>
      <c r="B245" s="793"/>
    </row>
    <row r="246" spans="1:2" s="544" customFormat="1" x14ac:dyDescent="0.25">
      <c r="A246" s="542" t="str">
        <f t="shared" si="6"/>
        <v>01-A-241</v>
      </c>
      <c r="B246" s="792"/>
    </row>
    <row r="247" spans="1:2" s="541" customFormat="1" x14ac:dyDescent="0.25">
      <c r="A247" s="539" t="str">
        <f t="shared" si="6"/>
        <v>01-A-242</v>
      </c>
      <c r="B247" s="793"/>
    </row>
    <row r="248" spans="1:2" s="544" customFormat="1" x14ac:dyDescent="0.25">
      <c r="A248" s="542" t="str">
        <f t="shared" si="6"/>
        <v>01-A-243</v>
      </c>
      <c r="B248" s="792"/>
    </row>
    <row r="249" spans="1:2" s="541" customFormat="1" x14ac:dyDescent="0.25">
      <c r="A249" s="539" t="str">
        <f t="shared" si="6"/>
        <v>01-A-244</v>
      </c>
      <c r="B249" s="793"/>
    </row>
    <row r="250" spans="1:2" s="544" customFormat="1" x14ac:dyDescent="0.25">
      <c r="A250" s="542" t="str">
        <f t="shared" si="6"/>
        <v>01-A-245</v>
      </c>
      <c r="B250" s="792"/>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4">
    <tabColor rgb="FF0050A0"/>
  </sheetPr>
  <dimension ref="A1:BG245"/>
  <sheetViews>
    <sheetView showRowColHeaders="0" topLeftCell="A10" zoomScaleNormal="100" workbookViewId="0">
      <selection activeCell="O59" sqref="O59:U59"/>
    </sheetView>
  </sheetViews>
  <sheetFormatPr defaultColWidth="9.140625" defaultRowHeight="15" x14ac:dyDescent="0.25"/>
  <cols>
    <col min="1" max="4" width="2.7109375" style="44" customWidth="1"/>
    <col min="5" max="5" width="6.7109375" style="44" customWidth="1"/>
    <col min="6" max="6" width="4.7109375" style="44" customWidth="1"/>
    <col min="7" max="9" width="3.7109375" style="44" customWidth="1"/>
    <col min="10" max="10" width="2.7109375" style="44" customWidth="1"/>
    <col min="11" max="11" width="3.28515625" style="44" customWidth="1"/>
    <col min="12" max="12" width="19.7109375" style="44" customWidth="1"/>
    <col min="13" max="14" width="1.7109375" style="44" customWidth="1"/>
    <col min="15" max="19" width="2.7109375" style="44" customWidth="1"/>
    <col min="20" max="20" width="3.28515625" style="44" customWidth="1"/>
    <col min="21" max="21" width="19.7109375" style="44" customWidth="1"/>
    <col min="22" max="22" width="2.7109375" style="44" customWidth="1"/>
    <col min="23" max="23" width="3.7109375" style="44" customWidth="1"/>
    <col min="24" max="24" width="2.7109375" style="44" customWidth="1"/>
    <col min="25" max="25" width="3.7109375" style="44" customWidth="1"/>
    <col min="26" max="27" width="2.7109375" style="44" customWidth="1"/>
    <col min="28" max="36" width="6.7109375" style="44" hidden="1" customWidth="1"/>
    <col min="37" max="40" width="12.7109375" style="44" hidden="1" customWidth="1"/>
    <col min="41" max="41" width="25.7109375" style="44" hidden="1" customWidth="1"/>
    <col min="42" max="42" width="10.7109375" style="47" hidden="1" customWidth="1"/>
    <col min="43" max="43" width="6.7109375" style="47" hidden="1" customWidth="1"/>
    <col min="44" max="44" width="6.7109375" style="172" hidden="1" customWidth="1"/>
    <col min="45" max="45" width="6.7109375" style="47" hidden="1" customWidth="1"/>
    <col min="46" max="46" width="6.7109375" style="44" hidden="1" customWidth="1"/>
    <col min="47" max="47" width="6.7109375" style="47" hidden="1" customWidth="1"/>
    <col min="48" max="48" width="6.7109375" style="172" hidden="1" customWidth="1"/>
    <col min="49" max="49" width="6.7109375" style="47" hidden="1" customWidth="1"/>
    <col min="50" max="50" width="6.7109375" style="44" hidden="1" customWidth="1"/>
    <col min="51" max="51" width="6.7109375" style="47" hidden="1" customWidth="1"/>
    <col min="52" max="52" width="6.7109375" style="172" hidden="1" customWidth="1"/>
    <col min="53" max="53" width="6.7109375" style="47"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A2" s="173"/>
      <c r="B2" s="17"/>
      <c r="C2" s="17"/>
      <c r="D2" s="17"/>
      <c r="E2" s="17"/>
      <c r="F2" s="17"/>
      <c r="G2" s="17"/>
      <c r="H2" s="17"/>
      <c r="I2" s="17"/>
      <c r="J2" s="17"/>
      <c r="K2" s="17"/>
      <c r="L2" s="17"/>
      <c r="M2" s="17"/>
      <c r="N2" s="17"/>
      <c r="O2" s="17"/>
      <c r="P2" s="17"/>
      <c r="Q2" s="17"/>
      <c r="R2" s="17"/>
      <c r="S2" s="17"/>
      <c r="T2" s="17"/>
      <c r="U2" s="17"/>
      <c r="V2" s="17"/>
      <c r="W2" s="17"/>
      <c r="X2" s="17"/>
      <c r="Y2" s="17"/>
      <c r="Z2" s="17"/>
      <c r="AA2" s="17"/>
      <c r="AB2" s="1228" t="s">
        <v>201</v>
      </c>
      <c r="AC2" s="1228"/>
      <c r="AD2" s="1228"/>
      <c r="AE2" s="1228"/>
      <c r="AF2" s="1228"/>
      <c r="AG2" s="1228"/>
      <c r="AH2" s="1226" t="s">
        <v>172</v>
      </c>
      <c r="AI2" s="1226"/>
      <c r="AJ2" s="1226"/>
      <c r="AK2" s="1227" t="s">
        <v>200</v>
      </c>
      <c r="AL2" s="1227"/>
      <c r="AM2" s="1227"/>
      <c r="AN2" s="1227"/>
      <c r="AO2" s="1227"/>
      <c r="AP2" s="91"/>
      <c r="AQ2" s="1220" t="s">
        <v>68</v>
      </c>
      <c r="AR2" s="1221"/>
      <c r="AS2" s="1221"/>
      <c r="AT2" s="1221"/>
      <c r="AU2" s="1221"/>
      <c r="AV2" s="1221"/>
      <c r="AW2" s="1221"/>
      <c r="AX2" s="1221"/>
      <c r="AY2" s="1221"/>
      <c r="AZ2" s="1221"/>
      <c r="BA2" s="1222"/>
      <c r="BC2" s="1033" t="str">
        <f ca="1">Taal01!$B$41</f>
        <v>Finalewedstrijden</v>
      </c>
      <c r="BD2" s="1033"/>
      <c r="BE2" s="1033"/>
      <c r="BF2" s="1033"/>
      <c r="BG2" s="1033"/>
    </row>
    <row r="3" spans="1:59" ht="15" customHeight="1" x14ac:dyDescent="0.25">
      <c r="A3" s="173"/>
      <c r="B3" s="17"/>
      <c r="C3" s="974"/>
      <c r="D3" s="989" t="str">
        <f ca="1">Taal04!B7&amp;" - "&amp;Taal04!B10</f>
        <v>Excel Deelname Formulier - Finalewedstrijden</v>
      </c>
      <c r="E3" s="976"/>
      <c r="F3" s="976"/>
      <c r="G3" s="976"/>
      <c r="H3" s="976"/>
      <c r="I3" s="976"/>
      <c r="J3" s="976"/>
      <c r="K3" s="976"/>
      <c r="L3" s="976"/>
      <c r="M3" s="976"/>
      <c r="N3" s="976"/>
      <c r="O3" s="976"/>
      <c r="P3" s="976"/>
      <c r="Q3" s="976"/>
      <c r="R3" s="976"/>
      <c r="S3" s="976"/>
      <c r="T3" s="976"/>
      <c r="U3" s="976"/>
      <c r="V3" s="976"/>
      <c r="W3" s="976"/>
      <c r="X3" s="976"/>
      <c r="Y3" s="990" t="str">
        <f ca="1">IF(Reglement!M3="","",Reglement!M3)</f>
        <v>EURO 2024: Jamilo EK-pool</v>
      </c>
      <c r="Z3" s="978"/>
      <c r="AA3" s="17"/>
      <c r="AB3" s="1228"/>
      <c r="AC3" s="1228"/>
      <c r="AD3" s="1228"/>
      <c r="AE3" s="1228"/>
      <c r="AF3" s="1228"/>
      <c r="AG3" s="1228"/>
      <c r="AH3" s="1226"/>
      <c r="AI3" s="1226"/>
      <c r="AJ3" s="1226"/>
      <c r="AK3" s="1227"/>
      <c r="AL3" s="1227"/>
      <c r="AM3" s="1227"/>
      <c r="AN3" s="1227"/>
      <c r="AO3" s="1227"/>
      <c r="AP3" s="91"/>
      <c r="AQ3" s="1223"/>
      <c r="AR3" s="1224"/>
      <c r="AS3" s="1224"/>
      <c r="AT3" s="1224"/>
      <c r="AU3" s="1224"/>
      <c r="AV3" s="1224"/>
      <c r="AW3" s="1224"/>
      <c r="AX3" s="1224"/>
      <c r="AY3" s="1224"/>
      <c r="AZ3" s="1224"/>
      <c r="BA3" s="1225"/>
      <c r="BC3" s="1033"/>
      <c r="BD3" s="1033"/>
      <c r="BE3" s="1033"/>
      <c r="BF3" s="1033"/>
      <c r="BG3" s="1033"/>
    </row>
    <row r="4" spans="1:59" ht="15" customHeight="1" x14ac:dyDescent="0.25">
      <c r="A4" s="173"/>
      <c r="B4" s="17"/>
      <c r="C4" s="17"/>
      <c r="D4" s="46"/>
      <c r="E4" s="17"/>
      <c r="F4" s="17"/>
      <c r="G4" s="17"/>
      <c r="H4" s="17"/>
      <c r="I4" s="17"/>
      <c r="J4" s="17"/>
      <c r="K4" s="17"/>
      <c r="L4" s="17"/>
      <c r="M4" s="17"/>
      <c r="N4" s="17"/>
      <c r="O4" s="17"/>
      <c r="P4" s="17"/>
      <c r="Q4" s="17"/>
      <c r="R4" s="17"/>
      <c r="S4" s="17"/>
      <c r="T4" s="17"/>
      <c r="U4" s="17"/>
      <c r="V4" s="17"/>
      <c r="W4" s="17"/>
      <c r="X4" s="17"/>
      <c r="Y4" s="57"/>
      <c r="Z4" s="17"/>
      <c r="AA4" s="17"/>
      <c r="AB4" s="1228"/>
      <c r="AC4" s="1228"/>
      <c r="AD4" s="1228"/>
      <c r="AE4" s="1228"/>
      <c r="AF4" s="1228"/>
      <c r="AG4" s="1228"/>
      <c r="AH4" s="1226"/>
      <c r="AI4" s="1226"/>
      <c r="AJ4" s="1226"/>
      <c r="AK4" s="1227"/>
      <c r="AL4" s="1227"/>
      <c r="AM4" s="1227"/>
      <c r="AN4" s="1227"/>
      <c r="AO4" s="1227"/>
      <c r="AP4" s="91"/>
      <c r="AQ4" s="1217" t="s">
        <v>323</v>
      </c>
      <c r="AR4" s="1218"/>
      <c r="AS4" s="1218"/>
      <c r="AT4" s="1218"/>
      <c r="AU4" s="1218"/>
      <c r="AV4" s="1218"/>
      <c r="AW4" s="1218"/>
      <c r="AX4" s="1218"/>
      <c r="AY4" s="1218"/>
      <c r="AZ4" s="1218"/>
      <c r="BA4" s="1219"/>
      <c r="BC4" s="1033"/>
      <c r="BD4" s="1033"/>
      <c r="BE4" s="1033"/>
      <c r="BF4" s="1033"/>
      <c r="BG4" s="1033"/>
    </row>
    <row r="5" spans="1:59" ht="15" customHeight="1" x14ac:dyDescent="0.25">
      <c r="A5" s="173"/>
      <c r="B5" s="17"/>
      <c r="C5" s="974"/>
      <c r="D5" s="989" t="str">
        <f ca="1">Taal04!B64</f>
        <v>De Finalewedstrijden</v>
      </c>
      <c r="E5" s="976"/>
      <c r="F5" s="976"/>
      <c r="G5" s="976"/>
      <c r="H5" s="976"/>
      <c r="I5" s="976"/>
      <c r="J5" s="976"/>
      <c r="K5" s="976"/>
      <c r="L5" s="976"/>
      <c r="M5" s="976"/>
      <c r="N5" s="976"/>
      <c r="O5" s="976"/>
      <c r="P5" s="976"/>
      <c r="Q5" s="976"/>
      <c r="R5" s="976"/>
      <c r="S5" s="976"/>
      <c r="T5" s="976"/>
      <c r="U5" s="976"/>
      <c r="V5" s="976"/>
      <c r="W5" s="976"/>
      <c r="X5" s="976"/>
      <c r="Y5" s="976"/>
      <c r="Z5" s="978"/>
      <c r="AA5" s="17"/>
      <c r="AB5" s="90"/>
      <c r="AC5" s="90"/>
      <c r="AD5" s="90"/>
      <c r="AE5" s="90"/>
      <c r="AF5" s="90"/>
      <c r="AG5" s="90"/>
      <c r="AH5" s="1232" t="s">
        <v>379</v>
      </c>
      <c r="AI5" s="1232"/>
      <c r="AJ5" s="1232"/>
      <c r="AK5" s="1229" t="s">
        <v>2400</v>
      </c>
      <c r="AL5" s="1229"/>
      <c r="AM5" s="1229"/>
      <c r="AN5" s="1229"/>
      <c r="AO5" s="1229"/>
      <c r="AP5" s="1230" t="s">
        <v>193</v>
      </c>
      <c r="AQ5" s="680"/>
      <c r="AR5" s="673"/>
      <c r="AS5" s="673"/>
      <c r="AT5" s="673"/>
      <c r="AU5" s="673"/>
      <c r="AV5" s="673"/>
      <c r="AW5" s="673"/>
      <c r="AX5" s="673"/>
      <c r="AY5" s="673"/>
      <c r="AZ5" s="673"/>
      <c r="BA5" s="681"/>
    </row>
    <row r="6" spans="1:59" ht="15" customHeight="1" x14ac:dyDescent="0.25">
      <c r="A6" s="173"/>
      <c r="B6" s="17"/>
      <c r="C6" s="947"/>
      <c r="D6" s="354"/>
      <c r="E6" s="16"/>
      <c r="F6" s="16"/>
      <c r="G6" s="16"/>
      <c r="H6" s="16"/>
      <c r="I6" s="16"/>
      <c r="J6" s="16"/>
      <c r="K6" s="16"/>
      <c r="L6" s="16"/>
      <c r="M6" s="16"/>
      <c r="N6" s="16"/>
      <c r="O6" s="16"/>
      <c r="P6" s="16"/>
      <c r="Q6" s="16"/>
      <c r="R6" s="16"/>
      <c r="S6" s="16"/>
      <c r="T6" s="16"/>
      <c r="U6" s="16"/>
      <c r="V6" s="16"/>
      <c r="W6" s="16"/>
      <c r="X6" s="16"/>
      <c r="Y6" s="16"/>
      <c r="Z6" s="948"/>
      <c r="AA6" s="17"/>
      <c r="AB6" s="139">
        <v>1</v>
      </c>
      <c r="AC6" s="90" t="str">
        <f ca="1">Taal04!B34</f>
        <v>suggesties altijd weergeven</v>
      </c>
      <c r="AD6" s="90"/>
      <c r="AE6" s="90"/>
      <c r="AF6" s="90"/>
      <c r="AG6" s="90"/>
      <c r="AH6" s="355"/>
      <c r="AI6" s="356">
        <f>Reglement!Q81</f>
        <v>1</v>
      </c>
      <c r="AJ6" s="355"/>
      <c r="AK6" s="1229"/>
      <c r="AL6" s="1229"/>
      <c r="AM6" s="1229"/>
      <c r="AN6" s="1229"/>
      <c r="AO6" s="1229"/>
      <c r="AP6" s="1230"/>
      <c r="AQ6" s="680"/>
      <c r="AR6" s="673"/>
      <c r="AS6" s="673"/>
      <c r="AT6" s="673"/>
      <c r="AU6" s="673"/>
      <c r="AV6" s="673"/>
      <c r="AW6" s="673"/>
      <c r="AX6" s="673"/>
      <c r="AY6" s="673"/>
      <c r="AZ6" s="673"/>
      <c r="BA6" s="681"/>
    </row>
    <row r="7" spans="1:59" ht="15" customHeight="1" x14ac:dyDescent="0.25">
      <c r="A7" s="173"/>
      <c r="B7" s="17"/>
      <c r="C7" s="949"/>
      <c r="D7" s="731" t="str">
        <f ca="1">IF($AI$6=1,IF(AJ62=1,Taal04!B68,Taal04!B65),Voorblad!C15)</f>
        <v>Voorspel de landen en de uitslag van de Finalewedstrijden en vul deze in op dit blad.</v>
      </c>
      <c r="E7" s="17"/>
      <c r="F7" s="17"/>
      <c r="G7" s="17"/>
      <c r="H7" s="17"/>
      <c r="I7" s="17"/>
      <c r="J7" s="17"/>
      <c r="K7" s="17"/>
      <c r="L7" s="17"/>
      <c r="M7" s="17"/>
      <c r="N7" s="17"/>
      <c r="O7" s="17"/>
      <c r="P7" s="17"/>
      <c r="Q7" s="17"/>
      <c r="R7" s="17"/>
      <c r="S7" s="17"/>
      <c r="T7" s="17"/>
      <c r="U7" s="17"/>
      <c r="V7" s="17"/>
      <c r="W7" s="17"/>
      <c r="X7" s="17"/>
      <c r="Y7" s="17"/>
      <c r="Z7" s="60"/>
      <c r="AA7" s="17"/>
      <c r="AB7" s="139">
        <v>2</v>
      </c>
      <c r="AC7" s="90" t="str">
        <f ca="1">Taal04!B35</f>
        <v>suggesties verbergen na keuze</v>
      </c>
      <c r="AD7" s="90"/>
      <c r="AE7" s="90"/>
      <c r="AF7" s="90"/>
      <c r="AG7" s="90"/>
      <c r="AH7" s="355"/>
      <c r="AI7" s="355"/>
      <c r="AJ7" s="355"/>
      <c r="AK7" s="1"/>
      <c r="AL7" s="1"/>
      <c r="AM7" s="1"/>
      <c r="AN7" s="1"/>
      <c r="AO7" s="1"/>
      <c r="AP7" s="91"/>
      <c r="AQ7" s="680"/>
      <c r="AR7" s="673"/>
      <c r="AS7" s="673"/>
      <c r="AT7" s="673"/>
      <c r="AU7" s="673"/>
      <c r="AV7" s="673"/>
      <c r="AW7" s="673"/>
      <c r="AX7" s="673"/>
      <c r="AY7" s="673"/>
      <c r="AZ7" s="673"/>
      <c r="BA7" s="681"/>
    </row>
    <row r="8" spans="1:59" ht="15" customHeight="1" x14ac:dyDescent="0.4">
      <c r="A8" s="173"/>
      <c r="B8" s="17"/>
      <c r="C8" s="949"/>
      <c r="D8" s="17"/>
      <c r="E8" s="17"/>
      <c r="F8" s="17"/>
      <c r="G8" s="17"/>
      <c r="H8" s="17"/>
      <c r="I8" s="17"/>
      <c r="J8" s="17"/>
      <c r="K8" s="17"/>
      <c r="L8" s="412"/>
      <c r="M8" s="412"/>
      <c r="N8" s="412"/>
      <c r="O8" s="412"/>
      <c r="P8" s="412"/>
      <c r="Q8" s="412"/>
      <c r="R8" s="412"/>
      <c r="S8" s="412"/>
      <c r="T8" s="412"/>
      <c r="U8" s="412"/>
      <c r="V8" s="412"/>
      <c r="W8" s="412"/>
      <c r="X8" s="412"/>
      <c r="Y8" s="412"/>
      <c r="Z8" s="60"/>
      <c r="AA8" s="17"/>
      <c r="AB8" s="139">
        <v>3</v>
      </c>
      <c r="AC8" s="90" t="str">
        <f ca="1">Taal04!B36</f>
        <v>suggesties niet weergeven</v>
      </c>
      <c r="AD8" s="90"/>
      <c r="AE8" s="90"/>
      <c r="AF8" s="90"/>
      <c r="AG8" s="90"/>
      <c r="AH8" s="1231" t="s">
        <v>198</v>
      </c>
      <c r="AI8" s="1231"/>
      <c r="AJ8" s="1231"/>
      <c r="AK8" s="664"/>
      <c r="AL8" s="664"/>
      <c r="AM8" s="664"/>
      <c r="AN8" s="664"/>
      <c r="AO8" s="664"/>
      <c r="AP8" s="91"/>
      <c r="AQ8" s="680"/>
      <c r="AR8" s="673"/>
      <c r="AS8" s="673"/>
      <c r="AT8" s="673"/>
      <c r="AU8" s="673"/>
      <c r="AV8" s="673"/>
      <c r="AW8" s="673"/>
      <c r="AX8" s="673"/>
      <c r="AY8" s="673"/>
      <c r="AZ8" s="673"/>
      <c r="BA8" s="681"/>
    </row>
    <row r="9" spans="1:59" ht="15" customHeight="1" x14ac:dyDescent="0.4">
      <c r="A9" s="173"/>
      <c r="B9" s="17"/>
      <c r="C9" s="949"/>
      <c r="D9" s="1213" t="s">
        <v>179</v>
      </c>
      <c r="E9" s="1214"/>
      <c r="F9" s="1214"/>
      <c r="G9" s="1214"/>
      <c r="H9" s="1214"/>
      <c r="I9" s="1214"/>
      <c r="J9" s="1214"/>
      <c r="K9" s="730" t="s">
        <v>848</v>
      </c>
      <c r="L9" s="1215" t="str">
        <f ca="1">IF($AG$71=1,Taal04!B69,Taal04!B70)</f>
        <v>Om u op weg te helpen kan op basis van voorgaande voorspellingen, mits volledig ingevuld, u een suggestie gegeven worden. U bent niet verplicht deze suggestie op te volgen. Voor de achste finales wordt de voorspelde eindstand van de groepen gebruikt.</v>
      </c>
      <c r="M9" s="1215"/>
      <c r="N9" s="1215"/>
      <c r="O9" s="1215"/>
      <c r="P9" s="1215"/>
      <c r="Q9" s="1215"/>
      <c r="R9" s="1215"/>
      <c r="S9" s="1215"/>
      <c r="T9" s="1215"/>
      <c r="U9" s="1215"/>
      <c r="V9" s="1215"/>
      <c r="W9" s="1215"/>
      <c r="X9" s="1215"/>
      <c r="Y9" s="1215"/>
      <c r="Z9" s="957"/>
      <c r="AA9" s="17"/>
      <c r="AB9" s="109">
        <f ca="1">IF(COUNTIF(Taal04!34:34,D9)&gt;0,1,IF(COUNTIF(Taal04!35:35,D9)&gt;0,2,3))</f>
        <v>1</v>
      </c>
      <c r="AC9" s="727" t="s">
        <v>177</v>
      </c>
      <c r="AD9" s="90"/>
      <c r="AE9" s="90"/>
      <c r="AF9" s="90"/>
      <c r="AG9" s="90"/>
      <c r="AH9" s="1231"/>
      <c r="AI9" s="1231"/>
      <c r="AJ9" s="1231"/>
      <c r="AK9" s="664"/>
      <c r="AL9" s="664"/>
      <c r="AM9" s="664"/>
      <c r="AN9" s="664"/>
      <c r="AO9" s="664"/>
      <c r="AP9" s="91"/>
      <c r="AQ9" s="680"/>
      <c r="AR9" s="673"/>
      <c r="AS9" s="673"/>
      <c r="AT9" s="673"/>
      <c r="AU9" s="673"/>
      <c r="AV9" s="673"/>
      <c r="AW9" s="673"/>
      <c r="AX9" s="673"/>
      <c r="AY9" s="673"/>
      <c r="AZ9" s="673"/>
      <c r="BA9" s="681"/>
    </row>
    <row r="10" spans="1:59" ht="15" customHeight="1" x14ac:dyDescent="0.4">
      <c r="A10" s="173"/>
      <c r="B10" s="17"/>
      <c r="C10" s="949"/>
      <c r="D10" s="347"/>
      <c r="E10" s="347"/>
      <c r="F10" s="347"/>
      <c r="G10" s="347"/>
      <c r="H10" s="585"/>
      <c r="I10" s="585"/>
      <c r="J10" s="585"/>
      <c r="K10" s="585"/>
      <c r="L10" s="1215"/>
      <c r="M10" s="1215"/>
      <c r="N10" s="1215"/>
      <c r="O10" s="1215"/>
      <c r="P10" s="1215"/>
      <c r="Q10" s="1215"/>
      <c r="R10" s="1215"/>
      <c r="S10" s="1215"/>
      <c r="T10" s="1215"/>
      <c r="U10" s="1215"/>
      <c r="V10" s="1215"/>
      <c r="W10" s="1215"/>
      <c r="X10" s="1215"/>
      <c r="Y10" s="1215"/>
      <c r="Z10" s="957"/>
      <c r="AA10" s="17"/>
      <c r="AB10" s="174"/>
      <c r="AC10" s="175"/>
      <c r="AD10" s="90"/>
      <c r="AE10" s="90"/>
      <c r="AF10" s="90"/>
      <c r="AG10" s="90"/>
      <c r="AH10" s="1231"/>
      <c r="AI10" s="1231"/>
      <c r="AJ10" s="1231"/>
      <c r="AK10" s="141"/>
      <c r="AL10" s="141"/>
      <c r="AM10" s="141"/>
      <c r="AN10" s="141"/>
      <c r="AO10" s="141"/>
      <c r="AP10" s="91"/>
      <c r="AQ10" s="837"/>
      <c r="AR10" s="838"/>
      <c r="AS10" s="669"/>
      <c r="AT10" s="289" t="s">
        <v>2300</v>
      </c>
      <c r="AU10" s="669"/>
      <c r="AV10" s="289" t="s">
        <v>2302</v>
      </c>
      <c r="AW10" s="669"/>
      <c r="AX10" s="289" t="s">
        <v>2304</v>
      </c>
      <c r="AY10" s="669"/>
      <c r="AZ10" s="289" t="s">
        <v>74</v>
      </c>
      <c r="BA10" s="670"/>
    </row>
    <row r="11" spans="1:59" ht="30" customHeight="1" x14ac:dyDescent="0.25">
      <c r="A11" s="173"/>
      <c r="B11" s="17"/>
      <c r="C11" s="949"/>
      <c r="D11" s="1216" t="str">
        <f ca="1">Taal04!$B$27</f>
        <v>Achtste Finale</v>
      </c>
      <c r="E11" s="1216"/>
      <c r="F11" s="1216"/>
      <c r="G11" s="1216"/>
      <c r="H11" s="1216"/>
      <c r="I11" s="1216"/>
      <c r="J11" s="1216"/>
      <c r="K11" s="1216"/>
      <c r="L11" s="1215"/>
      <c r="M11" s="1215"/>
      <c r="N11" s="1215"/>
      <c r="O11" s="1215"/>
      <c r="P11" s="1215"/>
      <c r="Q11" s="1215"/>
      <c r="R11" s="1215"/>
      <c r="S11" s="1215"/>
      <c r="T11" s="1215"/>
      <c r="U11" s="1215"/>
      <c r="V11" s="1215"/>
      <c r="W11" s="1215"/>
      <c r="X11" s="1215"/>
      <c r="Y11" s="1215"/>
      <c r="Z11" s="957"/>
      <c r="AA11" s="17"/>
      <c r="AB11" s="174"/>
      <c r="AC11" s="175">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D11" s="90"/>
      <c r="AE11" s="90"/>
      <c r="AF11" s="90"/>
      <c r="AG11" s="90"/>
      <c r="AH11" s="732"/>
      <c r="AI11" s="733">
        <f>IF(Reglement!G130="A",1,0)</f>
        <v>0</v>
      </c>
      <c r="AJ11" s="732"/>
      <c r="AK11" s="1195" t="s">
        <v>918</v>
      </c>
      <c r="AL11" s="1195"/>
      <c r="AM11" s="1195"/>
      <c r="AN11" s="1195"/>
      <c r="AO11" s="1195"/>
      <c r="AP11" s="91"/>
      <c r="AQ11" s="841" t="str">
        <f>REPT("─",16)</f>
        <v>────────────────</v>
      </c>
      <c r="AR11" s="842" t="s">
        <v>1879</v>
      </c>
      <c r="AS11" s="291" t="str">
        <f ca="1">IF(AT11=$AR$11,$AQ$11,IF(AT11=$AR$12,$AQ$12,VLOOKUP(AT11,Voorblad!$X$67:$Z$98,2,FALSE)))</f>
        <v>Oostenrijk</v>
      </c>
      <c r="AT11" s="292" t="str">
        <f ca="1">RIGHT(LEFT($AL$88,$BA11),2)</f>
        <v>D3</v>
      </c>
      <c r="AU11" s="291" t="str">
        <f ca="1">IF(AV11=$AR$11,$AQ$11,IF(AV11=$AR$12,$AQ$12,VLOOKUP(AV11,Voorblad!$X$67:$Z$98,2,FALSE)))</f>
        <v>Hongarije</v>
      </c>
      <c r="AV11" s="292" t="str">
        <f ca="1">RIGHT(LEFT($AL$89,$BA11),2)</f>
        <v>A3</v>
      </c>
      <c r="AW11" s="291" t="str">
        <f ca="1">IF(AX11=$AR$11,$AQ$11,IF(AX11=$AR$12,$AQ$12,VLOOKUP(AX11,Voorblad!$X$67:$Z$98,2,FALSE)))</f>
        <v>Hongarije</v>
      </c>
      <c r="AX11" s="292" t="str">
        <f ca="1">RIGHT(LEFT($AL$91,$BA11),2)</f>
        <v>A3</v>
      </c>
      <c r="AY11" s="291" t="str">
        <f ca="1">IF(AZ11=$AR$11,$AQ$11,IF(AZ11=$AR$12,$AQ$12,VLOOKUP(AZ11,Voorblad!$X$67:$Z$98,2,FALSE)))</f>
        <v>Hongarije</v>
      </c>
      <c r="AZ11" s="292" t="str">
        <f ca="1">RIGHT(LEFT($AL$92,$BA11),2)</f>
        <v>A3</v>
      </c>
      <c r="BA11" s="671">
        <v>2</v>
      </c>
    </row>
    <row r="12" spans="1:59" ht="15" customHeight="1" x14ac:dyDescent="0.25">
      <c r="A12" s="173"/>
      <c r="B12" s="17"/>
      <c r="C12" s="949"/>
      <c r="D12" s="1216"/>
      <c r="E12" s="1216"/>
      <c r="F12" s="1216"/>
      <c r="G12" s="1216"/>
      <c r="H12" s="1216"/>
      <c r="I12" s="1216"/>
      <c r="J12" s="1216"/>
      <c r="K12" s="1216"/>
      <c r="L12" s="715"/>
      <c r="M12" s="715"/>
      <c r="N12" s="715"/>
      <c r="O12" s="715"/>
      <c r="P12" s="715"/>
      <c r="Q12" s="715"/>
      <c r="R12" s="715"/>
      <c r="S12" s="715"/>
      <c r="T12" s="715"/>
      <c r="U12" s="715"/>
      <c r="V12" s="715"/>
      <c r="W12" s="715"/>
      <c r="X12" s="715"/>
      <c r="Y12" s="170" t="str">
        <f ca="1">Taal04!$B$25</f>
        <v>Alle tijden zijn Midden-Europese Tijd (UCT+1)</v>
      </c>
      <c r="Z12" s="60"/>
      <c r="AA12" s="17"/>
      <c r="AB12" s="174"/>
      <c r="AC12" s="175"/>
      <c r="AD12" s="90"/>
      <c r="AE12" s="90"/>
      <c r="AF12" s="90"/>
      <c r="AG12" s="90"/>
      <c r="AH12" s="736"/>
      <c r="AI12" s="737" t="s">
        <v>199</v>
      </c>
      <c r="AJ12" s="736"/>
      <c r="AK12" s="1195"/>
      <c r="AL12" s="1195"/>
      <c r="AM12" s="1195"/>
      <c r="AN12" s="1195"/>
      <c r="AO12" s="1195"/>
      <c r="AP12" s="91"/>
      <c r="AQ12" s="839" t="str">
        <f>""</f>
        <v/>
      </c>
      <c r="AR12" s="840" t="s">
        <v>1880</v>
      </c>
      <c r="AS12" s="291" t="str">
        <f ca="1">IF(AT12=$AR$11,$AQ$11,IF(AT12=$AR$12,$AQ$12,VLOOKUP(AT12,Voorblad!$X$67:$Z$98,2,FALSE)))</f>
        <v>Slowakije</v>
      </c>
      <c r="AT12" s="292" t="str">
        <f t="shared" ref="AT12:AT27" ca="1" si="0">RIGHT(LEFT($AL$88,$BA12),2)</f>
        <v>E2</v>
      </c>
      <c r="AU12" s="291" t="str">
        <f ca="1">IF(AV12=$AR$11,$AQ$11,IF(AV12=$AR$12,$AQ$12,VLOOKUP(AV12,Voorblad!$X$67:$Z$98,2,FALSE)))</f>
        <v>Oostenrijk</v>
      </c>
      <c r="AV12" s="292" t="str">
        <f t="shared" ref="AV12:AV27" ca="1" si="1">RIGHT(LEFT($AL$89,$BA12),2)</f>
        <v>D3</v>
      </c>
      <c r="AW12" s="291" t="str">
        <f ca="1">IF(AX12=$AR$11,$AQ$11,IF(AX12=$AR$12,$AQ$12,VLOOKUP(AX12,Voorblad!$X$67:$Z$98,2,FALSE)))</f>
        <v>Italië</v>
      </c>
      <c r="AX12" s="292" t="str">
        <f t="shared" ref="AX12:AX27" ca="1" si="2">RIGHT(LEFT($AL$91,$BA12),2)</f>
        <v>B3</v>
      </c>
      <c r="AY12" s="291" t="str">
        <f ca="1">IF(AZ12=$AR$11,$AQ$11,IF(AZ12=$AR$12,$AQ$12,VLOOKUP(AZ12,Voorblad!$X$67:$Z$98,2,FALSE)))</f>
        <v>Italië</v>
      </c>
      <c r="AZ12" s="292" t="str">
        <f t="shared" ref="AZ12:AZ23" ca="1" si="3">RIGHT(LEFT($AL$92,$BA12),2)</f>
        <v>B3</v>
      </c>
      <c r="BA12" s="672">
        <f t="shared" ref="BA12:BA27" si="4">BA11+2</f>
        <v>4</v>
      </c>
    </row>
    <row r="13" spans="1:59" ht="15" customHeight="1" x14ac:dyDescent="0.25">
      <c r="A13" s="173"/>
      <c r="B13" s="17"/>
      <c r="C13" s="949"/>
      <c r="D13" s="17"/>
      <c r="E13" s="939" t="str">
        <f ca="1">Taal04!$B$20</f>
        <v>Datum</v>
      </c>
      <c r="F13" s="939" t="str">
        <f ca="1">Taal04!$B$21</f>
        <v>Tijd</v>
      </c>
      <c r="G13" s="1212" t="str">
        <f ca="1">Taal04!$B$22</f>
        <v>Wedstrijd</v>
      </c>
      <c r="H13" s="1212"/>
      <c r="I13" s="1212"/>
      <c r="J13" s="1212"/>
      <c r="K13" s="1212"/>
      <c r="L13" s="1212"/>
      <c r="M13" s="1212"/>
      <c r="N13" s="1212"/>
      <c r="O13" s="1212"/>
      <c r="P13" s="1212"/>
      <c r="Q13" s="1212"/>
      <c r="R13" s="1212"/>
      <c r="S13" s="1212"/>
      <c r="T13" s="1212"/>
      <c r="U13" s="1212"/>
      <c r="V13" s="17"/>
      <c r="W13" s="1142" t="str">
        <f ca="1">Taal04!$B$24</f>
        <v>Eindstand</v>
      </c>
      <c r="X13" s="1143"/>
      <c r="Y13" s="1143"/>
      <c r="Z13" s="60"/>
      <c r="AA13" s="17"/>
      <c r="AB13" s="850"/>
      <c r="AC13" s="235" t="s">
        <v>0</v>
      </c>
      <c r="AD13" s="235" t="s">
        <v>19</v>
      </c>
      <c r="AE13" s="235" t="s">
        <v>0</v>
      </c>
      <c r="AF13" s="235" t="s">
        <v>19</v>
      </c>
      <c r="AG13" s="5"/>
      <c r="AH13" s="10" t="s">
        <v>75</v>
      </c>
      <c r="AI13" s="5"/>
      <c r="AJ13" s="10" t="s">
        <v>75</v>
      </c>
      <c r="AK13" s="4" t="s">
        <v>26</v>
      </c>
      <c r="AL13" s="4" t="s">
        <v>27</v>
      </c>
      <c r="AM13" s="4" t="s">
        <v>24</v>
      </c>
      <c r="AN13" s="4" t="s">
        <v>25</v>
      </c>
      <c r="AO13" s="138" t="s">
        <v>0</v>
      </c>
      <c r="AP13" s="91"/>
      <c r="AQ13" s="287"/>
      <c r="AR13" s="289" t="s">
        <v>2</v>
      </c>
      <c r="AS13" s="291" t="str">
        <f ca="1">IF(AT13=$AR$11,$AQ$11,IF(AT13=$AR$12,$AQ$12,VLOOKUP(AT13,Voorblad!$X$67:$Z$98,2,FALSE)))</f>
        <v>Tsjechië</v>
      </c>
      <c r="AT13" s="292" t="str">
        <f t="shared" ca="1" si="0"/>
        <v>F4</v>
      </c>
      <c r="AU13" s="291" t="str">
        <f ca="1">IF(AV13=$AR$11,$AQ$11,IF(AV13=$AR$12,$AQ$12,VLOOKUP(AV13,Voorblad!$X$67:$Z$98,2,FALSE)))</f>
        <v>Slowakije</v>
      </c>
      <c r="AV13" s="292" t="str">
        <f t="shared" ca="1" si="1"/>
        <v>E2</v>
      </c>
      <c r="AW13" s="291" t="str">
        <f ca="1">IF(AX13=$AR$11,$AQ$11,IF(AX13=$AR$12,$AQ$12,VLOOKUP(AX13,Voorblad!$X$67:$Z$98,2,FALSE)))</f>
        <v>Servië</v>
      </c>
      <c r="AX13" s="292" t="str">
        <f t="shared" ca="1" si="2"/>
        <v>C3</v>
      </c>
      <c r="AY13" s="291" t="str">
        <f ca="1">IF(AZ13=$AR$11,$AQ$11,IF(AZ13=$AR$12,$AQ$12,VLOOKUP(AZ13,Voorblad!$X$67:$Z$98,2,FALSE)))</f>
        <v>Oostenrijk</v>
      </c>
      <c r="AZ13" s="292" t="str">
        <f t="shared" ca="1" si="3"/>
        <v>D3</v>
      </c>
      <c r="BA13" s="672">
        <f t="shared" si="4"/>
        <v>6</v>
      </c>
    </row>
    <row r="14" spans="1:59" ht="15" customHeight="1" x14ac:dyDescent="0.25">
      <c r="A14" s="173"/>
      <c r="B14" s="17"/>
      <c r="C14" s="949"/>
      <c r="D14" s="6">
        <v>38</v>
      </c>
      <c r="E14" s="11">
        <f>DATE(2024,6,29)+TIME(18,0,0)</f>
        <v>45472.75</v>
      </c>
      <c r="F14" s="134">
        <f>E14+TIME(0,0,0)</f>
        <v>45472.75</v>
      </c>
      <c r="G14" s="1192" t="str">
        <f ca="1">" "&amp;Taal04!$B$75&amp;" A"</f>
        <v xml:space="preserve"> Nr.2 Groep A</v>
      </c>
      <c r="H14" s="1192"/>
      <c r="I14" s="1192"/>
      <c r="J14" s="1192"/>
      <c r="K14" s="1192"/>
      <c r="L14" s="668" t="s">
        <v>851</v>
      </c>
      <c r="M14" s="12"/>
      <c r="N14" s="666" t="str">
        <f ca="1">IF(AK14="LEEG","▼   ","")&amp;"-  "</f>
        <v xml:space="preserve">-  </v>
      </c>
      <c r="O14" s="1192" t="str">
        <f ca="1">" "&amp;Taal04!$B$75&amp;" B"</f>
        <v xml:space="preserve"> Nr.2 Groep B</v>
      </c>
      <c r="P14" s="1192"/>
      <c r="Q14" s="1192"/>
      <c r="R14" s="1192"/>
      <c r="S14" s="1192"/>
      <c r="T14" s="1192"/>
      <c r="U14" s="667" t="s">
        <v>855</v>
      </c>
      <c r="V14" s="666" t="str">
        <f ca="1">IF(AL14="LEEG","▼   ","")&amp;": "</f>
        <v xml:space="preserve">: </v>
      </c>
      <c r="W14" s="738">
        <v>1</v>
      </c>
      <c r="X14" s="940" t="s">
        <v>12</v>
      </c>
      <c r="Y14" s="738">
        <v>2</v>
      </c>
      <c r="Z14" s="60"/>
      <c r="AA14" s="17"/>
      <c r="AB14" s="851">
        <f>IF(AND(AM14="GOED",AN14="GOED"),W14+Y14,0)</f>
        <v>3</v>
      </c>
      <c r="AC14" s="271" t="str">
        <f ca="1">IF(OR(L14="",ISBLANK(L14)),"OO",IF(TYPE(VLOOKUP(L14,Taal02!$C$100:$D$419,2,FALSE))=16,"XX",VLOOKUP(L14,Taal02!$C$100:$D$419,2,FALSE)))</f>
        <v>A4</v>
      </c>
      <c r="AD14" s="235" t="str">
        <f ca="1">IF(AC14="OO","LEEG",IF(AC14="XX","FOUT",VLOOKUP(AC14,Voorblad!$X$65:$Z$98,3,FALSE)))</f>
        <v>CH</v>
      </c>
      <c r="AE14" s="271" t="str">
        <f ca="1">IF(OR(U14="",ISBLANK(U14)),"OO",IF(TYPE(VLOOKUP(U14,Taal02!$C$100:$D$419,2,FALSE))=16,"XX",VLOOKUP(U14,Taal02!$C$100:$D$419,2,FALSE)))</f>
        <v>B2</v>
      </c>
      <c r="AF14" s="235" t="str">
        <f ca="1">IF(AE14="OO","LEEG",IF(AE14="XX","FOUT",VLOOKUP(AE14,Voorblad!$X$65:$Z$98,3,FALSE)))</f>
        <v>HR</v>
      </c>
      <c r="AG14" s="5"/>
      <c r="AH14" s="10" t="s">
        <v>110</v>
      </c>
      <c r="AI14" s="10" t="s">
        <v>12</v>
      </c>
      <c r="AJ14" s="10" t="s">
        <v>114</v>
      </c>
      <c r="AK14" s="4" t="str">
        <f ca="1">IF(AD14="LEEG","LEEG",IF(TYPE(AD14)=2,IF(LEN(AD14)=2,IF(AND($AI$11=0,AH15="DUBBEL"),"ONGELDIG","GOED"),"ONGELDIG"),"ONGELDIG"))</f>
        <v>GOED</v>
      </c>
      <c r="AL14" s="4" t="str">
        <f ca="1">IF(AF14="LEEG","LEEG",IF(TYPE(AF14)=2,IF(LEN(AF14)=2,IF(AND($AI$11=0,AJ15="DUBBEL"),"ONGELDIG","GOED"),"ONGELDIG"),"ONGELDIG"))</f>
        <v>GOED</v>
      </c>
      <c r="AM14" s="4" t="str">
        <f>IF(ISBLANK(W14),"LEEG",IF(TYPE(W14)=1,IF(AND(W14&lt;10,W14&gt;=0),IF(W14=ROUND(W14,0),"GOED","ONGELDIG"),"ONGELDIG"),"ONGELDIG"))</f>
        <v>GOED</v>
      </c>
      <c r="AN14" s="4" t="str">
        <f>IF(ISBLANK(Y14),"LEEG",IF(TYPE(Y14)=1,IF(AND(Y14&lt;10,Y14&gt;=0),IF(Y14=ROUND(Y14,0),"GOED","ONGELDIG"),"ONGELDIG"),"ONGELDIG"))</f>
        <v>GOED</v>
      </c>
      <c r="AO14" s="138" t="str">
        <f ca="1">IF(AK14="GOED",IF(AL14="GOED",IF(AM14="GOED",IF(AN14="GOED",AD14&amp;AF14&amp;W14&amp;Y14&amp;"|","FOUT"),"FOUT"),"FOUT"),"FOUT")</f>
        <v>CHHR12|</v>
      </c>
      <c r="AP14" s="91">
        <f ca="1">LEN(AO14)</f>
        <v>7</v>
      </c>
      <c r="AQ14" s="291" t="str">
        <f ca="1">VLOOKUP(AR14,Voorblad!$X$67:$Z$98,2,FALSE)</f>
        <v>Duitsland</v>
      </c>
      <c r="AR14" s="292" t="s">
        <v>109</v>
      </c>
      <c r="AS14" s="291" t="str">
        <f ca="1">IF(AT14=$AR$11,$AQ$11,IF(AT14=$AR$12,$AQ$12,VLOOKUP(AT14,Voorblad!$X$67:$Z$98,2,FALSE)))</f>
        <v>────────────────</v>
      </c>
      <c r="AT14" s="292" t="str">
        <f t="shared" ca="1" si="0"/>
        <v>&amp;&amp;</v>
      </c>
      <c r="AU14" s="291" t="str">
        <f ca="1">IF(AV14=$AR$11,$AQ$11,IF(AV14=$AR$12,$AQ$12,VLOOKUP(AV14,Voorblad!$X$67:$Z$98,2,FALSE)))</f>
        <v>Tsjechië</v>
      </c>
      <c r="AV14" s="292" t="str">
        <f t="shared" ca="1" si="1"/>
        <v>F4</v>
      </c>
      <c r="AW14" s="291" t="str">
        <f ca="1">IF(AX14=$AR$11,$AQ$11,IF(AX14=$AR$12,$AQ$12,VLOOKUP(AX14,Voorblad!$X$67:$Z$98,2,FALSE)))</f>
        <v>────────────────</v>
      </c>
      <c r="AX14" s="292" t="str">
        <f t="shared" ca="1" si="2"/>
        <v>&amp;&amp;</v>
      </c>
      <c r="AY14" s="291" t="str">
        <f ca="1">IF(AZ14=$AR$11,$AQ$11,IF(AZ14=$AR$12,$AQ$12,VLOOKUP(AZ14,Voorblad!$X$67:$Z$98,2,FALSE)))</f>
        <v>Servië</v>
      </c>
      <c r="AZ14" s="292" t="str">
        <f t="shared" ca="1" si="3"/>
        <v>C3</v>
      </c>
      <c r="BA14" s="672">
        <f t="shared" si="4"/>
        <v>8</v>
      </c>
    </row>
    <row r="15" spans="1:59" ht="18.95" customHeight="1" x14ac:dyDescent="0.25">
      <c r="A15" s="173"/>
      <c r="B15" s="17"/>
      <c r="C15" s="949"/>
      <c r="D15" s="17"/>
      <c r="E15" s="17"/>
      <c r="F15" s="17"/>
      <c r="G15" s="1210" t="str">
        <f ca="1">IF($AB$9=1," "&amp;AC15,IF($AB$9=2,IF(AC14="OO"," "&amp;AC15,""),""))</f>
        <v xml:space="preserve"> Zwitserland</v>
      </c>
      <c r="H15" s="1210"/>
      <c r="I15" s="1210"/>
      <c r="J15" s="1210"/>
      <c r="K15" s="1210"/>
      <c r="L15" s="1210"/>
      <c r="M15" s="17"/>
      <c r="N15" s="17"/>
      <c r="O15" s="1210" t="str">
        <f ca="1">IF($AB$9=1," "&amp;AE15,IF($AB$9=2,IF(AE14="OO"," "&amp;AE15,""),""))</f>
        <v xml:space="preserve"> Kroatië</v>
      </c>
      <c r="P15" s="1210"/>
      <c r="Q15" s="1210"/>
      <c r="R15" s="1210"/>
      <c r="S15" s="1210"/>
      <c r="T15" s="1210"/>
      <c r="U15" s="1210"/>
      <c r="V15" s="17"/>
      <c r="W15" s="17"/>
      <c r="X15" s="262"/>
      <c r="Y15" s="17"/>
      <c r="Z15" s="60"/>
      <c r="AA15" s="17"/>
      <c r="AB15" s="850"/>
      <c r="AC15" s="1193" t="str">
        <f ca="1">AM86</f>
        <v>Zwitserland</v>
      </c>
      <c r="AD15" s="1193"/>
      <c r="AE15" s="1193" t="str">
        <f ca="1">AO86</f>
        <v>Kroatië</v>
      </c>
      <c r="AF15" s="1193"/>
      <c r="AG15" s="716" t="str">
        <f ca="1">IF(AO14="FOUT","",IF(W14&gt;Y14,AC14,IF(W14&lt;Y14,AE14,AC14&amp;AE14)))</f>
        <v>B2</v>
      </c>
      <c r="AH15" s="415" t="str">
        <f ca="1">IF(AD14="LEEG","LEEG",IF(AD14= "FOUT","ONGELDIG",IF(LEN(SUBSTITUTE(SUBSTITUTE("|"&amp;$AD$14&amp;"|"&amp;$AF$14&amp;"|"&amp;$AD$16&amp;"|"&amp;$AF$16&amp;"|"&amp;$AD$18&amp;"|"&amp;$AF$18&amp;"|"&amp;$AD$20&amp;"|"&amp;$AF$20&amp;"|"&amp;$AD$22&amp;"|"&amp;$AF$22&amp;"|"&amp;$AD$24&amp;"|"&amp;$AF$24&amp;"|"&amp;$AD$26&amp;"|"&amp;$AF$26&amp;"|"&amp;$AD$28&amp;"|"&amp;$AF$28&amp;"|","LEEG","##"),AD14,"CONTROLE"))=$AJ$30,"GOED","DUBBEL")))</f>
        <v>GOED</v>
      </c>
      <c r="AI15" s="5"/>
      <c r="AJ15" s="415" t="str">
        <f ca="1">IF(AF14="LEEG","LEEG",IF(AF14= "FOUT","ONGELDIG",IF(LEN(SUBSTITUTE(SUBSTITUTE("|"&amp;$AD$14&amp;"|"&amp;$AF$14&amp;"|"&amp;$AD$16&amp;"|"&amp;$AF$16&amp;"|"&amp;$AD$18&amp;"|"&amp;$AF$18&amp;"|"&amp;$AD$20&amp;"|"&amp;$AF$20&amp;"|"&amp;$AD$22&amp;"|"&amp;$AF$22&amp;"|"&amp;$AD$24&amp;"|"&amp;$AF$24&amp;"|"&amp;$AD$26&amp;"|"&amp;$AF$26&amp;"|"&amp;$AD$28&amp;"|"&amp;$AF$28&amp;"|","LEEG","##"),AF14,"CONTROLE"))=$AJ$30,"GOED","DUBBEL")))</f>
        <v>GOED</v>
      </c>
      <c r="AK15" s="4"/>
      <c r="AL15" s="4"/>
      <c r="AM15" s="4"/>
      <c r="AN15" s="4"/>
      <c r="AO15" s="138"/>
      <c r="AP15" s="91"/>
      <c r="AQ15" s="291" t="str">
        <f ca="1">VLOOKUP(AR15,Voorblad!$X$67:$Z$98,2,FALSE)</f>
        <v>Schotland</v>
      </c>
      <c r="AR15" s="292" t="str">
        <f>AR13&amp;2</f>
        <v>A2</v>
      </c>
      <c r="AS15" s="291" t="str">
        <f ca="1">IF(AT15=$AR$11,$AQ$11,IF(AT15=$AR$12,$AQ$12,VLOOKUP(AT15,Voorblad!$X$67:$Z$98,2,FALSE)))</f>
        <v>België</v>
      </c>
      <c r="AT15" s="292" t="str">
        <f t="shared" ca="1" si="0"/>
        <v>E1</v>
      </c>
      <c r="AU15" s="291" t="str">
        <f ca="1">IF(AV15=$AR$11,$AQ$11,IF(AV15=$AR$12,$AQ$12,VLOOKUP(AV15,Voorblad!$X$67:$Z$98,2,FALSE)))</f>
        <v>────────────────</v>
      </c>
      <c r="AV15" s="292" t="str">
        <f t="shared" ca="1" si="1"/>
        <v>&amp;&amp;</v>
      </c>
      <c r="AW15" s="291" t="str">
        <f ca="1">IF(AX15=$AR$11,$AQ$11,IF(AX15=$AR$12,$AQ$12,VLOOKUP(AX15,Voorblad!$X$67:$Z$98,2,FALSE)))</f>
        <v>Albanië</v>
      </c>
      <c r="AX15" s="292" t="str">
        <f t="shared" ca="1" si="2"/>
        <v>B4</v>
      </c>
      <c r="AY15" s="291" t="str">
        <f ca="1">IF(AZ15=$AR$11,$AQ$11,IF(AZ15=$AR$12,$AQ$12,VLOOKUP(AZ15,Voorblad!$X$67:$Z$98,2,FALSE)))</f>
        <v>────────────────</v>
      </c>
      <c r="AZ15" s="292" t="str">
        <f t="shared" ca="1" si="3"/>
        <v>&amp;&amp;</v>
      </c>
      <c r="BA15" s="672">
        <f t="shared" si="4"/>
        <v>10</v>
      </c>
    </row>
    <row r="16" spans="1:59" ht="15" customHeight="1" x14ac:dyDescent="0.25">
      <c r="A16" s="173"/>
      <c r="B16" s="17"/>
      <c r="C16" s="949"/>
      <c r="D16" s="6">
        <f>D14-1</f>
        <v>37</v>
      </c>
      <c r="E16" s="11">
        <f>E14+TIME(3,0,0)</f>
        <v>45472.875</v>
      </c>
      <c r="F16" s="134">
        <f>E16+TIME(0,0,0)</f>
        <v>45472.875</v>
      </c>
      <c r="G16" s="1192" t="str">
        <f ca="1">" "&amp;Taal04!$B$74&amp;" A"</f>
        <v xml:space="preserve"> Nr.1 Groep A</v>
      </c>
      <c r="H16" s="1192"/>
      <c r="I16" s="1192"/>
      <c r="J16" s="1192"/>
      <c r="K16" s="1192"/>
      <c r="L16" s="668" t="s">
        <v>1</v>
      </c>
      <c r="M16" s="665"/>
      <c r="N16" s="666" t="str">
        <f ca="1">IF(AK16="LEEG","▼   ","")&amp;"-  "</f>
        <v xml:space="preserve">-  </v>
      </c>
      <c r="O16" s="1192" t="str">
        <f ca="1">" "&amp;Taal04!$B$75&amp;" C"</f>
        <v xml:space="preserve"> Nr.2 Groep C</v>
      </c>
      <c r="P16" s="1192"/>
      <c r="Q16" s="1192"/>
      <c r="R16" s="1192"/>
      <c r="S16" s="1192"/>
      <c r="T16" s="1192"/>
      <c r="U16" s="668" t="s">
        <v>852</v>
      </c>
      <c r="V16" s="666" t="str">
        <f ca="1">IF(AL16="LEEG","▼   ","")&amp;": "</f>
        <v xml:space="preserve">: </v>
      </c>
      <c r="W16" s="738">
        <v>2</v>
      </c>
      <c r="X16" s="940" t="s">
        <v>12</v>
      </c>
      <c r="Y16" s="738">
        <v>1</v>
      </c>
      <c r="Z16" s="60"/>
      <c r="AA16" s="17"/>
      <c r="AB16" s="851">
        <f>IF(AND(AM16="GOED",AN16="GOED"),W16+Y16,0)</f>
        <v>3</v>
      </c>
      <c r="AC16" s="271" t="str">
        <f ca="1">IF(OR(L16="",ISBLANK(L16)),"OO",IF(TYPE(VLOOKUP(L16,Taal02!$C$100:$D$419,2,FALSE))=16,"XX",VLOOKUP(L16,Taal02!$C$100:$D$419,2,FALSE)))</f>
        <v>A1</v>
      </c>
      <c r="AD16" s="235" t="str">
        <f ca="1">IF(AC16="OO","LEEG",IF(AC16="XX","FOUT",VLOOKUP(AC16,Voorblad!$X$65:$Z$98,3,FALSE)))</f>
        <v>DE</v>
      </c>
      <c r="AE16" s="271" t="str">
        <f ca="1">IF(OR(U16="",ISBLANK(U16)),"OO",IF(TYPE(VLOOKUP(U16,Taal02!$C$100:$D$419,2,FALSE))=16,"XX",VLOOKUP(U16,Taal02!$C$100:$D$419,2,FALSE)))</f>
        <v>C2</v>
      </c>
      <c r="AF16" s="235" t="str">
        <f ca="1">IF(AE16="OO","LEEG",IF(AE16="XX","FOUT",VLOOKUP(AE16,Voorblad!$X$65:$Z$98,3,FALSE)))</f>
        <v>DK</v>
      </c>
      <c r="AG16" s="5"/>
      <c r="AH16" s="10" t="s">
        <v>109</v>
      </c>
      <c r="AI16" s="10" t="s">
        <v>12</v>
      </c>
      <c r="AJ16" s="10" t="s">
        <v>118</v>
      </c>
      <c r="AK16" s="4" t="str">
        <f ca="1">IF(AD16="LEEG","LEEG",IF(TYPE(AD16)=2,IF(LEN(AD16)=2,IF(AND($AI$11=0,AH17="DUBBEL"),"ONGELDIG","GOED"),"ONGELDIG"),"ONGELDIG"))</f>
        <v>GOED</v>
      </c>
      <c r="AL16" s="4" t="str">
        <f ca="1">IF(AF16="LEEG","LEEG",IF(TYPE(AF16)=2,IF(LEN(AF16)=2,IF(AND($AI$11=0,AJ17="DUBBEL"),"ONGELDIG","GOED"),"ONGELDIG"),"ONGELDIG"))</f>
        <v>GOED</v>
      </c>
      <c r="AM16" s="4" t="str">
        <f>IF(ISBLANK(W16),"LEEG",IF(TYPE(W16)=1,IF(AND(W16&lt;10,W16&gt;=0),IF(W16=ROUND(W16,0),"GOED","ONGELDIG"),"ONGELDIG"),"ONGELDIG"))</f>
        <v>GOED</v>
      </c>
      <c r="AN16" s="4" t="str">
        <f>IF(ISBLANK(Y16),"LEEG",IF(TYPE(Y16)=1,IF(AND(Y16&lt;10,Y16&gt;=0),IF(Y16=ROUND(Y16,0),"GOED","ONGELDIG"),"ONGELDIG"),"ONGELDIG"))</f>
        <v>GOED</v>
      </c>
      <c r="AO16" s="138" t="str">
        <f ca="1">IF(AK16="GOED",IF(AL16="GOED",IF(AM16="GOED",IF(AN16="GOED",AD16&amp;AF16&amp;W16&amp;Y16&amp;"|","FOUT"),"FOUT"),"FOUT"),"FOUT")</f>
        <v>DEDK21|</v>
      </c>
      <c r="AP16" s="91">
        <f ca="1">LEN(AO16)</f>
        <v>7</v>
      </c>
      <c r="AQ16" s="291" t="str">
        <f ca="1">VLOOKUP(AR16,Voorblad!$X$67:$Z$98,2,FALSE)</f>
        <v>Hongarije</v>
      </c>
      <c r="AR16" s="292" t="str">
        <f>AR13&amp;3</f>
        <v>A3</v>
      </c>
      <c r="AS16" s="291" t="str">
        <f ca="1">IF(AT16=$AR$11,$AQ$11,IF(AT16=$AR$12,$AQ$12,VLOOKUP(AT16,Voorblad!$X$67:$Z$98,2,FALSE)))</f>
        <v>Frankrijk</v>
      </c>
      <c r="AT16" s="292" t="str">
        <f t="shared" ca="1" si="0"/>
        <v>D4</v>
      </c>
      <c r="AU16" s="291" t="str">
        <f ca="1">IF(AV16=$AR$11,$AQ$11,IF(AV16=$AR$12,$AQ$12,VLOOKUP(AV16,Voorblad!$X$67:$Z$98,2,FALSE)))</f>
        <v>België</v>
      </c>
      <c r="AV16" s="292" t="str">
        <f t="shared" ca="1" si="1"/>
        <v>E1</v>
      </c>
      <c r="AW16" s="291" t="str">
        <f ca="1">IF(AX16=$AR$11,$AQ$11,IF(AX16=$AR$12,$AQ$12,VLOOKUP(AX16,Voorblad!$X$67:$Z$98,2,FALSE)))</f>
        <v>Denemarken</v>
      </c>
      <c r="AX16" s="292" t="str">
        <f t="shared" ca="1" si="2"/>
        <v>C2</v>
      </c>
      <c r="AY16" s="291" t="str">
        <f ca="1">IF(AZ16=$AR$11,$AQ$11,IF(AZ16=$AR$12,$AQ$12,VLOOKUP(AZ16,Voorblad!$X$67:$Z$98,2,FALSE)))</f>
        <v>Albanië</v>
      </c>
      <c r="AZ16" s="292" t="str">
        <f t="shared" ca="1" si="3"/>
        <v>B4</v>
      </c>
      <c r="BA16" s="672">
        <f t="shared" si="4"/>
        <v>12</v>
      </c>
    </row>
    <row r="17" spans="1:53" ht="18.95" customHeight="1" x14ac:dyDescent="0.25">
      <c r="A17" s="173"/>
      <c r="B17" s="17"/>
      <c r="C17" s="949"/>
      <c r="D17" s="17"/>
      <c r="E17" s="17"/>
      <c r="F17" s="17"/>
      <c r="G17" s="1210" t="str">
        <f ca="1">IF($AB$9=1," "&amp;AC17,IF($AB$9=2,IF(AC16="OO"," "&amp;AC17,""),""))</f>
        <v xml:space="preserve"> Duitsland</v>
      </c>
      <c r="H17" s="1210"/>
      <c r="I17" s="1210"/>
      <c r="J17" s="1210"/>
      <c r="K17" s="1210"/>
      <c r="L17" s="1210"/>
      <c r="M17" s="17"/>
      <c r="N17" s="17"/>
      <c r="O17" s="1210" t="str">
        <f ca="1">IF($AB$9=1," "&amp;AE17,IF($AB$9=2,IF(AE16="OO"," "&amp;AE17,""),""))</f>
        <v xml:space="preserve"> Denemarken</v>
      </c>
      <c r="P17" s="1210"/>
      <c r="Q17" s="1210"/>
      <c r="R17" s="1210"/>
      <c r="S17" s="1210"/>
      <c r="T17" s="1210"/>
      <c r="U17" s="1210"/>
      <c r="V17" s="17"/>
      <c r="W17" s="17"/>
      <c r="X17" s="262"/>
      <c r="Y17" s="17"/>
      <c r="Z17" s="60"/>
      <c r="AA17" s="17"/>
      <c r="AB17" s="850"/>
      <c r="AC17" s="1193" t="str">
        <f ca="1">AM87</f>
        <v>Duitsland</v>
      </c>
      <c r="AD17" s="1193"/>
      <c r="AE17" s="1193" t="str">
        <f ca="1">AO87</f>
        <v>Denemarken</v>
      </c>
      <c r="AF17" s="1193"/>
      <c r="AG17" s="716" t="str">
        <f ca="1">IF(AO16="FOUT","",IF(W16&gt;Y16,AC16,IF(W16&lt;Y16,AE16,AC16&amp;AE16)))</f>
        <v>A1</v>
      </c>
      <c r="AH17" s="415" t="str">
        <f ca="1">IF(AD16="LEEG","LEEG",IF(AD16= "FOUT","ONGELDIG",IF(LEN(SUBSTITUTE(SUBSTITUTE("|"&amp;$AD$14&amp;"|"&amp;$AF$14&amp;"|"&amp;$AD$16&amp;"|"&amp;$AF$16&amp;"|"&amp;$AD$18&amp;"|"&amp;$AF$18&amp;"|"&amp;$AD$20&amp;"|"&amp;$AF$20&amp;"|"&amp;$AD$22&amp;"|"&amp;$AF$22&amp;"|"&amp;$AD$24&amp;"|"&amp;$AF$24&amp;"|"&amp;$AD$26&amp;"|"&amp;$AF$26&amp;"|"&amp;$AD$28&amp;"|"&amp;$AF$28&amp;"|","LEEG","##"),AD16,"CONTROLE"))=$AJ$30,"GOED","DUBBEL")))</f>
        <v>GOED</v>
      </c>
      <c r="AI17" s="5"/>
      <c r="AJ17" s="415" t="str">
        <f ca="1">IF(AF16="LEEG","LEEG",IF(AF16= "FOUT","ONGELDIG",IF(LEN(SUBSTITUTE(SUBSTITUTE("|"&amp;$AD$14&amp;"|"&amp;$AF$14&amp;"|"&amp;$AD$16&amp;"|"&amp;$AF$16&amp;"|"&amp;$AD$18&amp;"|"&amp;$AF$18&amp;"|"&amp;$AD$20&amp;"|"&amp;$AF$20&amp;"|"&amp;$AD$22&amp;"|"&amp;$AF$22&amp;"|"&amp;$AD$24&amp;"|"&amp;$AF$24&amp;"|"&amp;$AD$26&amp;"|"&amp;$AF$26&amp;"|"&amp;$AD$28&amp;"|"&amp;$AF$28&amp;"|","LEEG","##"),AF16,"CONTROLE"))=$AJ$30,"GOED","DUBBEL")))</f>
        <v>GOED</v>
      </c>
      <c r="AK17" s="4"/>
      <c r="AL17" s="4"/>
      <c r="AM17" s="4"/>
      <c r="AN17" s="4"/>
      <c r="AO17" s="138"/>
      <c r="AP17" s="91"/>
      <c r="AQ17" s="293" t="str">
        <f ca="1">VLOOKUP(AR17,Voorblad!$X$67:$Z$98,2,FALSE)</f>
        <v>Zwitserland</v>
      </c>
      <c r="AR17" s="295" t="s">
        <v>112</v>
      </c>
      <c r="AS17" s="291" t="str">
        <f ca="1">IF(AT17=$AR$11,$AQ$11,IF(AT17=$AR$12,$AQ$12,VLOOKUP(AT17,Voorblad!$X$67:$Z$98,2,FALSE)))</f>
        <v>Georgië</v>
      </c>
      <c r="AT17" s="292" t="str">
        <f t="shared" ca="1" si="0"/>
        <v>F2</v>
      </c>
      <c r="AU17" s="291" t="str">
        <f ca="1">IF(AV17=$AR$11,$AQ$11,IF(AV17=$AR$12,$AQ$12,VLOOKUP(AV17,Voorblad!$X$67:$Z$98,2,FALSE)))</f>
        <v>Duitsland</v>
      </c>
      <c r="AV17" s="292" t="str">
        <f t="shared" ca="1" si="1"/>
        <v>A1</v>
      </c>
      <c r="AW17" s="291" t="str">
        <f ca="1">IF(AX17=$AR$11,$AQ$11,IF(AX17=$AR$12,$AQ$12,VLOOKUP(AX17,Voorblad!$X$67:$Z$98,2,FALSE)))</f>
        <v>Duitsland</v>
      </c>
      <c r="AX17" s="292" t="str">
        <f t="shared" ca="1" si="2"/>
        <v>A1</v>
      </c>
      <c r="AY17" s="291" t="str">
        <f ca="1">IF(AZ17=$AR$11,$AQ$11,IF(AZ17=$AR$12,$AQ$12,VLOOKUP(AZ17,Voorblad!$X$67:$Z$98,2,FALSE)))</f>
        <v>Denemarken</v>
      </c>
      <c r="AZ17" s="292" t="str">
        <f t="shared" ca="1" si="3"/>
        <v>C2</v>
      </c>
      <c r="BA17" s="672">
        <f t="shared" si="4"/>
        <v>14</v>
      </c>
    </row>
    <row r="18" spans="1:53" ht="15" customHeight="1" x14ac:dyDescent="0.25">
      <c r="A18" s="173"/>
      <c r="B18" s="17"/>
      <c r="C18" s="949"/>
      <c r="D18" s="6">
        <f>D16+3</f>
        <v>40</v>
      </c>
      <c r="E18" s="11">
        <f>E14+1</f>
        <v>45473.75</v>
      </c>
      <c r="F18" s="134">
        <f>E18+TIME(0,0,0)</f>
        <v>45473.75</v>
      </c>
      <c r="G18" s="1192" t="str">
        <f ca="1">" "&amp;Taal04!$B$74&amp;" C"</f>
        <v xml:space="preserve"> Nr.1 Groep C</v>
      </c>
      <c r="H18" s="1192"/>
      <c r="I18" s="1192"/>
      <c r="J18" s="1192"/>
      <c r="K18" s="1192"/>
      <c r="L18" s="668" t="s">
        <v>854</v>
      </c>
      <c r="M18" s="665"/>
      <c r="N18" s="666" t="str">
        <f ca="1">IF(AK18="LEEG","▼   ","")&amp;"-  "</f>
        <v xml:space="preserve">-  </v>
      </c>
      <c r="O18" s="1192" t="str">
        <f ca="1">" "&amp;Taal04!$B$76&amp;" D/E/F"</f>
        <v xml:space="preserve"> Nr.3 Groep D/E/F</v>
      </c>
      <c r="P18" s="1192"/>
      <c r="Q18" s="1192"/>
      <c r="R18" s="1192"/>
      <c r="S18" s="1192"/>
      <c r="T18" s="1192"/>
      <c r="U18" s="668" t="s">
        <v>2200</v>
      </c>
      <c r="V18" s="666" t="str">
        <f ca="1">IF(AL18="LEEG","▼   ","")&amp;": "</f>
        <v xml:space="preserve">: </v>
      </c>
      <c r="W18" s="738">
        <v>2</v>
      </c>
      <c r="X18" s="940" t="s">
        <v>12</v>
      </c>
      <c r="Y18" s="738">
        <v>0</v>
      </c>
      <c r="Z18" s="60"/>
      <c r="AA18" s="17"/>
      <c r="AB18" s="851">
        <f>IF(AND(AM18="GOED",AN18="GOED"),W18+Y18,0)</f>
        <v>2</v>
      </c>
      <c r="AC18" s="271" t="str">
        <f ca="1">IF(OR(L18="",ISBLANK(L18)),"OO",IF(TYPE(VLOOKUP(L18,Taal02!$C$100:$D$419,2,FALSE))=16,"XX",VLOOKUP(L18,Taal02!$C$100:$D$419,2,FALSE)))</f>
        <v>C4</v>
      </c>
      <c r="AD18" s="235" t="str">
        <f ca="1">IF(AC18="OO","LEEG",IF(AC18="XX","FOUT",VLOOKUP(AC18,Voorblad!$X$65:$Z$98,3,FALSE)))</f>
        <v>GB</v>
      </c>
      <c r="AE18" s="271" t="str">
        <f ca="1">IF(OR(U18="",ISBLANK(U18)),"OO",IF(TYPE(VLOOKUP(U18,Taal02!$C$100:$D$419,2,FALSE))=16,"XX",VLOOKUP(U18,Taal02!$C$100:$D$419,2,FALSE)))</f>
        <v>E2</v>
      </c>
      <c r="AF18" s="235" t="str">
        <f ca="1">IF(AE18="OO","LEEG",IF(AE18="XX","FOUT",VLOOKUP(AE18,Voorblad!$X$65:$Z$98,3,FALSE)))</f>
        <v>SK</v>
      </c>
      <c r="AG18" s="5"/>
      <c r="AH18" s="10" t="s">
        <v>117</v>
      </c>
      <c r="AI18" s="10" t="s">
        <v>12</v>
      </c>
      <c r="AJ18" s="10" t="s">
        <v>2493</v>
      </c>
      <c r="AK18" s="4" t="str">
        <f ca="1">IF(AD18="LEEG","LEEG",IF(TYPE(AD18)=2,IF(LEN(AD18)=2,IF(AND($AI$11=0,AH19="DUBBEL"),"ONGELDIG","GOED"),"ONGELDIG"),"ONGELDIG"))</f>
        <v>GOED</v>
      </c>
      <c r="AL18" s="4" t="str">
        <f ca="1">IF(AF18="LEEG","LEEG",IF(TYPE(AF18)=2,IF(LEN(AF18)=2,IF(AND($AI$11=0,AJ19="DUBBEL"),"ONGELDIG","GOED"),"ONGELDIG"),"ONGELDIG"))</f>
        <v>GOED</v>
      </c>
      <c r="AM18" s="4" t="str">
        <f>IF(ISBLANK(W18),"LEEG",IF(TYPE(W18)=1,IF(AND(W18&lt;10,W18&gt;=0),IF(W18=ROUND(W18,0),"GOED","ONGELDIG"),"ONGELDIG"),"ONGELDIG"))</f>
        <v>GOED</v>
      </c>
      <c r="AN18" s="4" t="str">
        <f>IF(ISBLANK(Y18),"LEEG",IF(TYPE(Y18)=1,IF(AND(Y18&lt;10,Y18&gt;=0),IF(Y18=ROUND(Y18,0),"GOED","ONGELDIG"),"ONGELDIG"),"ONGELDIG"))</f>
        <v>GOED</v>
      </c>
      <c r="AO18" s="138" t="str">
        <f ca="1">IF(AK18="GOED",IF(AL18="GOED",IF(AM18="GOED",IF(AN18="GOED",AD18&amp;AF18&amp;W18&amp;Y18&amp;"|","FOUT"),"FOUT"),"FOUT"),"FOUT")</f>
        <v>GBSK20|</v>
      </c>
      <c r="AP18" s="91">
        <f ca="1">LEN(AO18)</f>
        <v>7</v>
      </c>
      <c r="AQ18" s="287"/>
      <c r="AR18" s="289" t="s">
        <v>3</v>
      </c>
      <c r="AS18" s="291" t="str">
        <f ca="1">IF(AT18=$AR$11,$AQ$11,IF(AT18=$AR$12,$AQ$12,VLOOKUP(AT18,Voorblad!$X$67:$Z$98,2,FALSE)))</f>
        <v>Nederland</v>
      </c>
      <c r="AT18" s="292" t="str">
        <f t="shared" ca="1" si="0"/>
        <v>D2</v>
      </c>
      <c r="AU18" s="291" t="str">
        <f ca="1">IF(AV18=$AR$11,$AQ$11,IF(AV18=$AR$12,$AQ$12,VLOOKUP(AV18,Voorblad!$X$67:$Z$98,2,FALSE)))</f>
        <v>Frankrijk</v>
      </c>
      <c r="AV18" s="292" t="str">
        <f t="shared" ca="1" si="1"/>
        <v>D4</v>
      </c>
      <c r="AW18" s="291" t="str">
        <f ca="1">IF(AX18=$AR$11,$AQ$11,IF(AX18=$AR$12,$AQ$12,VLOOKUP(AX18,Voorblad!$X$67:$Z$98,2,FALSE)))</f>
        <v>Engeland</v>
      </c>
      <c r="AX18" s="292" t="str">
        <f t="shared" ca="1" si="2"/>
        <v>C4</v>
      </c>
      <c r="AY18" s="291" t="str">
        <f ca="1">IF(AZ18=$AR$11,$AQ$11,IF(AZ18=$AR$12,$AQ$12,VLOOKUP(AZ18,Voorblad!$X$67:$Z$98,2,FALSE)))</f>
        <v>Duitsland</v>
      </c>
      <c r="AZ18" s="292" t="str">
        <f t="shared" ca="1" si="3"/>
        <v>A1</v>
      </c>
      <c r="BA18" s="672">
        <f t="shared" si="4"/>
        <v>16</v>
      </c>
    </row>
    <row r="19" spans="1:53" ht="18.95" customHeight="1" x14ac:dyDescent="0.25">
      <c r="A19" s="173"/>
      <c r="B19" s="17"/>
      <c r="C19" s="949"/>
      <c r="D19" s="17"/>
      <c r="E19" s="17"/>
      <c r="F19" s="17"/>
      <c r="G19" s="1210" t="str">
        <f ca="1">IF($AB$9=1," "&amp;AC19,IF($AB$9=2,IF(AC18="OO"," "&amp;AC19,""),""))</f>
        <v xml:space="preserve"> Engeland</v>
      </c>
      <c r="H19" s="1210"/>
      <c r="I19" s="1210"/>
      <c r="J19" s="1210"/>
      <c r="K19" s="1210"/>
      <c r="L19" s="1210"/>
      <c r="M19" s="17"/>
      <c r="N19" s="17"/>
      <c r="O19" s="1210" t="str">
        <f ca="1">IF($AB$9=1," "&amp;AE19,IF($AB$9=2,IF(AE18="OO"," "&amp;AE19,""),""))</f>
        <v xml:space="preserve"> Oostenrijk / Slowakije / Tsjechië</v>
      </c>
      <c r="P19" s="1210"/>
      <c r="Q19" s="1210"/>
      <c r="R19" s="1210"/>
      <c r="S19" s="1210"/>
      <c r="T19" s="1210"/>
      <c r="U19" s="1210"/>
      <c r="V19" s="17"/>
      <c r="W19" s="17"/>
      <c r="X19" s="262"/>
      <c r="Y19" s="17"/>
      <c r="Z19" s="60"/>
      <c r="AA19" s="17"/>
      <c r="AB19" s="850"/>
      <c r="AC19" s="1193" t="str">
        <f ca="1">AM88</f>
        <v>Engeland</v>
      </c>
      <c r="AD19" s="1193"/>
      <c r="AE19" s="1193" t="str">
        <f ca="1">AO88</f>
        <v>Oostenrijk / Slowakije / Tsjechië</v>
      </c>
      <c r="AF19" s="1193"/>
      <c r="AG19" s="716" t="str">
        <f ca="1">IF(AO18="FOUT","",IF(W18&gt;Y18,AC18,IF(W18&lt;Y18,AE18,AC18&amp;AE18)))</f>
        <v>C4</v>
      </c>
      <c r="AH19" s="415" t="str">
        <f ca="1">IF(AD18="LEEG","LEEG",IF(AD18= "FOUT","ONGELDIG",IF(LEN(SUBSTITUTE(SUBSTITUTE("|"&amp;$AD$14&amp;"|"&amp;$AF$14&amp;"|"&amp;$AD$16&amp;"|"&amp;$AF$16&amp;"|"&amp;$AD$18&amp;"|"&amp;$AF$18&amp;"|"&amp;$AD$20&amp;"|"&amp;$AF$20&amp;"|"&amp;$AD$22&amp;"|"&amp;$AF$22&amp;"|"&amp;$AD$24&amp;"|"&amp;$AF$24&amp;"|"&amp;$AD$26&amp;"|"&amp;$AF$26&amp;"|"&amp;$AD$28&amp;"|"&amp;$AF$28&amp;"|","LEEG","##"),AD18,"CONTROLE"))=$AJ$30,"GOED","DUBBEL")))</f>
        <v>GOED</v>
      </c>
      <c r="AI19" s="5"/>
      <c r="AJ19" s="415" t="str">
        <f ca="1">IF(AF18="LEEG","LEEG",IF(AF18= "FOUT","ONGELDIG",IF(LEN(SUBSTITUTE(SUBSTITUTE("|"&amp;$AD$14&amp;"|"&amp;$AF$14&amp;"|"&amp;$AD$16&amp;"|"&amp;$AF$16&amp;"|"&amp;$AD$18&amp;"|"&amp;$AF$18&amp;"|"&amp;$AD$20&amp;"|"&amp;$AF$20&amp;"|"&amp;$AD$22&amp;"|"&amp;$AF$22&amp;"|"&amp;$AD$24&amp;"|"&amp;$AF$24&amp;"|"&amp;$AD$26&amp;"|"&amp;$AF$26&amp;"|"&amp;$AD$28&amp;"|"&amp;$AF$28&amp;"|","LEEG","##"),AF18,"CONTROLE"))=$AJ$30,"GOED","DUBBEL")))</f>
        <v>GOED</v>
      </c>
      <c r="AK19" s="4"/>
      <c r="AL19" s="4"/>
      <c r="AM19" s="4"/>
      <c r="AN19" s="4"/>
      <c r="AO19" s="138"/>
      <c r="AP19" s="91"/>
      <c r="AQ19" s="291" t="str">
        <f ca="1">VLOOKUP(AR19,Voorblad!$X$67:$Z$98,2,FALSE)</f>
        <v>Spanje</v>
      </c>
      <c r="AR19" s="292" t="str">
        <f>AR18&amp;1</f>
        <v>B1</v>
      </c>
      <c r="AS19" s="291" t="str">
        <f ca="1">IF(AT19=$AR$11,$AQ$11,IF(AT19=$AR$12,$AQ$12,VLOOKUP(AT19,Voorblad!$X$67:$Z$98,2,FALSE)))</f>
        <v>Oekraïne</v>
      </c>
      <c r="AT19" s="292" t="str">
        <f t="shared" ca="1" si="0"/>
        <v>E4</v>
      </c>
      <c r="AU19" s="291" t="str">
        <f ca="1">IF(AV19=$AR$11,$AQ$11,IF(AV19=$AR$12,$AQ$12,VLOOKUP(AV19,Voorblad!$X$67:$Z$98,2,FALSE)))</f>
        <v>Georgië</v>
      </c>
      <c r="AV19" s="292" t="str">
        <f t="shared" ca="1" si="1"/>
        <v>F2</v>
      </c>
      <c r="AW19" s="291" t="str">
        <f ca="1">IF(AX19=$AR$11,$AQ$11,IF(AX19=$AR$12,$AQ$12,VLOOKUP(AX19,Voorblad!$X$67:$Z$98,2,FALSE)))</f>
        <v>Kroatië</v>
      </c>
      <c r="AX19" s="292" t="str">
        <f t="shared" ca="1" si="2"/>
        <v>B2</v>
      </c>
      <c r="AY19" s="291" t="str">
        <f ca="1">IF(AZ19=$AR$11,$AQ$11,IF(AZ19=$AR$12,$AQ$12,VLOOKUP(AZ19,Voorblad!$X$67:$Z$98,2,FALSE)))</f>
        <v>Engeland</v>
      </c>
      <c r="AZ19" s="292" t="str">
        <f t="shared" ca="1" si="3"/>
        <v>C4</v>
      </c>
      <c r="BA19" s="672">
        <f t="shared" si="4"/>
        <v>18</v>
      </c>
    </row>
    <row r="20" spans="1:53" ht="15" customHeight="1" x14ac:dyDescent="0.25">
      <c r="A20" s="173"/>
      <c r="B20" s="17"/>
      <c r="C20" s="949"/>
      <c r="D20" s="6">
        <f>D18-1</f>
        <v>39</v>
      </c>
      <c r="E20" s="11">
        <f>E16+1</f>
        <v>45473.875</v>
      </c>
      <c r="F20" s="134">
        <f>E20+TIME(0,0,0)</f>
        <v>45473.875</v>
      </c>
      <c r="G20" s="1192" t="str">
        <f ca="1">" "&amp;Taal04!$B$74&amp;" B"</f>
        <v xml:space="preserve"> Nr.1 Groep B</v>
      </c>
      <c r="H20" s="1192"/>
      <c r="I20" s="1192"/>
      <c r="J20" s="1192"/>
      <c r="K20" s="1192"/>
      <c r="L20" s="667" t="s">
        <v>856</v>
      </c>
      <c r="M20" s="665"/>
      <c r="N20" s="666" t="str">
        <f ca="1">IF(AK20="LEEG","▼   ","")&amp;"-  "</f>
        <v xml:space="preserve">-  </v>
      </c>
      <c r="O20" s="1192" t="str">
        <f ca="1">" "&amp;Taal04!$B$76&amp;" A/D/E/F"</f>
        <v xml:space="preserve"> Nr.3 Groep A/D/E/F</v>
      </c>
      <c r="P20" s="1192"/>
      <c r="Q20" s="1192"/>
      <c r="R20" s="1192"/>
      <c r="S20" s="1192"/>
      <c r="T20" s="1192"/>
      <c r="U20" s="668" t="s">
        <v>2232</v>
      </c>
      <c r="V20" s="666" t="str">
        <f ca="1">IF(AL20="LEEG","▼   ","")&amp;": "</f>
        <v xml:space="preserve">: </v>
      </c>
      <c r="W20" s="738">
        <v>3</v>
      </c>
      <c r="X20" s="940" t="s">
        <v>12</v>
      </c>
      <c r="Y20" s="738">
        <v>1</v>
      </c>
      <c r="Z20" s="60"/>
      <c r="AA20" s="17"/>
      <c r="AB20" s="851">
        <f>IF(AND(AM20="GOED",AN20="GOED"),W20+Y20,0)</f>
        <v>4</v>
      </c>
      <c r="AC20" s="271" t="str">
        <f ca="1">IF(OR(L20="",ISBLANK(L20)),"OO",IF(TYPE(VLOOKUP(L20,Taal02!$C$100:$D$419,2,FALSE))=16,"XX",VLOOKUP(L20,Taal02!$C$100:$D$419,2,FALSE)))</f>
        <v>B1</v>
      </c>
      <c r="AD20" s="235" t="str">
        <f ca="1">IF(AC20="OO","LEEG",IF(AC20="XX","FOUT",VLOOKUP(AC20,Voorblad!$X$65:$Z$98,3,FALSE)))</f>
        <v>ES</v>
      </c>
      <c r="AE20" s="271" t="str">
        <f ca="1">IF(OR(U20="",ISBLANK(U20)),"OO",IF(TYPE(VLOOKUP(U20,Taal02!$C$100:$D$419,2,FALSE))=16,"XX",VLOOKUP(U20,Taal02!$C$100:$D$419,2,FALSE)))</f>
        <v>D3</v>
      </c>
      <c r="AF20" s="235" t="str">
        <f ca="1">IF(AE20="OO","LEEG",IF(AE20="XX","FOUT",VLOOKUP(AE20,Voorblad!$X$65:$Z$98,3,FALSE)))</f>
        <v>AT</v>
      </c>
      <c r="AG20" s="5"/>
      <c r="AH20" s="10" t="s">
        <v>113</v>
      </c>
      <c r="AI20" s="10" t="s">
        <v>12</v>
      </c>
      <c r="AJ20" s="10" t="s">
        <v>2494</v>
      </c>
      <c r="AK20" s="4" t="str">
        <f ca="1">IF(AD20="LEEG","LEEG",IF(TYPE(AD20)=2,IF(LEN(AD20)=2,IF(AND($AI$11=0,AH21="DUBBEL"),"ONGELDIG","GOED"),"ONGELDIG"),"ONGELDIG"))</f>
        <v>GOED</v>
      </c>
      <c r="AL20" s="4" t="str">
        <f ca="1">IF(AF20="LEEG","LEEG",IF(TYPE(AF20)=2,IF(LEN(AF20)=2,IF(AND($AI$11=0,AJ21="DUBBEL"),"ONGELDIG","GOED"),"ONGELDIG"),"ONGELDIG"))</f>
        <v>GOED</v>
      </c>
      <c r="AM20" s="4" t="str">
        <f>IF(ISBLANK(W20),"LEEG",IF(TYPE(W20)=1,IF(AND(W20&lt;10,W20&gt;=0),IF(W20=ROUND(W20,0),"GOED","ONGELDIG"),"ONGELDIG"),"ONGELDIG"))</f>
        <v>GOED</v>
      </c>
      <c r="AN20" s="4" t="str">
        <f>IF(ISBLANK(Y20),"LEEG",IF(TYPE(Y20)=1,IF(AND(Y20&lt;10,Y20&gt;=0),IF(Y20=ROUND(Y20,0),"GOED","ONGELDIG"),"ONGELDIG"),"ONGELDIG"))</f>
        <v>GOED</v>
      </c>
      <c r="AO20" s="138" t="str">
        <f ca="1">IF(AK20="GOED",IF(AL20="GOED",IF(AM20="GOED",IF(AN20="GOED",AD20&amp;AF20&amp;W20&amp;Y20&amp;"|","FOUT"),"FOUT"),"FOUT"),"FOUT")</f>
        <v>ESAT31|</v>
      </c>
      <c r="AP20" s="91">
        <f ca="1">LEN(AO20)</f>
        <v>7</v>
      </c>
      <c r="AQ20" s="291" t="str">
        <f ca="1">VLOOKUP(AR20,Voorblad!$X$67:$Z$98,2,FALSE)</f>
        <v>Kroatië</v>
      </c>
      <c r="AR20" s="292" t="str">
        <f>AR18&amp;2</f>
        <v>B2</v>
      </c>
      <c r="AS20" s="291" t="str">
        <f ca="1">IF(AT20=$AR$11,$AQ$11,IF(AT20=$AR$12,$AQ$12,VLOOKUP(AT20,Voorblad!$X$67:$Z$98,2,FALSE)))</f>
        <v>Polen</v>
      </c>
      <c r="AT20" s="292" t="str">
        <f t="shared" ca="1" si="0"/>
        <v>D1</v>
      </c>
      <c r="AU20" s="291" t="str">
        <f ca="1">IF(AV20=$AR$11,$AQ$11,IF(AV20=$AR$12,$AQ$12,VLOOKUP(AV20,Voorblad!$X$67:$Z$98,2,FALSE)))</f>
        <v>Nederland</v>
      </c>
      <c r="AV20" s="292" t="str">
        <f t="shared" ca="1" si="1"/>
        <v>D2</v>
      </c>
      <c r="AW20" s="291" t="str">
        <f ca="1">IF(AX20=$AR$11,$AQ$11,IF(AX20=$AR$12,$AQ$12,VLOOKUP(AX20,Voorblad!$X$67:$Z$98,2,FALSE)))</f>
        <v>Schotland</v>
      </c>
      <c r="AX20" s="292" t="str">
        <f t="shared" ca="1" si="2"/>
        <v>A2</v>
      </c>
      <c r="AY20" s="291" t="str">
        <f ca="1">IF(AZ20=$AR$11,$AQ$11,IF(AZ20=$AR$12,$AQ$12,VLOOKUP(AZ20,Voorblad!$X$67:$Z$98,2,FALSE)))</f>
        <v>Frankrijk</v>
      </c>
      <c r="AZ20" s="292" t="str">
        <f t="shared" ca="1" si="3"/>
        <v>D4</v>
      </c>
      <c r="BA20" s="672">
        <f t="shared" si="4"/>
        <v>20</v>
      </c>
    </row>
    <row r="21" spans="1:53" ht="18.95" customHeight="1" x14ac:dyDescent="0.4">
      <c r="A21" s="173"/>
      <c r="B21" s="17"/>
      <c r="C21" s="949"/>
      <c r="D21" s="17"/>
      <c r="E21" s="17"/>
      <c r="F21" s="17"/>
      <c r="G21" s="1210" t="str">
        <f ca="1">IF($AB$9=1," "&amp;AC21,IF($AB$9=2,IF(AC20="OO"," "&amp;AC21,""),""))</f>
        <v xml:space="preserve"> Spanje</v>
      </c>
      <c r="H21" s="1210"/>
      <c r="I21" s="1210"/>
      <c r="J21" s="1210"/>
      <c r="K21" s="1210"/>
      <c r="L21" s="1210"/>
      <c r="M21" s="17"/>
      <c r="N21" s="17"/>
      <c r="O21" s="1210" t="str">
        <f ca="1">IF($AB$9=1," "&amp;AE21,IF($AB$9=2,IF(AE20="OO"," "&amp;AE21,""),""))</f>
        <v xml:space="preserve"> Hongarije / Oostenrijk / Slowakije / Tsjechië</v>
      </c>
      <c r="P21" s="1210"/>
      <c r="Q21" s="1210"/>
      <c r="R21" s="1210"/>
      <c r="S21" s="1210"/>
      <c r="T21" s="1210"/>
      <c r="U21" s="1210"/>
      <c r="V21" s="17"/>
      <c r="W21" s="17"/>
      <c r="X21" s="17"/>
      <c r="Y21" s="17"/>
      <c r="Z21" s="958"/>
      <c r="AA21" s="17"/>
      <c r="AB21" s="850"/>
      <c r="AC21" s="1193" t="str">
        <f ca="1">AM89</f>
        <v>Spanje</v>
      </c>
      <c r="AD21" s="1193"/>
      <c r="AE21" s="1193" t="str">
        <f ca="1">AO89</f>
        <v>Hongarije / Oostenrijk / Slowakije / Tsjechië</v>
      </c>
      <c r="AF21" s="1193"/>
      <c r="AG21" s="716" t="str">
        <f ca="1">IF(AO20="FOUT","",IF(W20&gt;Y20,AC20,IF(W20&lt;Y20,AE20,AC20&amp;AE20)))</f>
        <v>B1</v>
      </c>
      <c r="AH21" s="415" t="str">
        <f ca="1">IF(AD20="LEEG","LEEG",IF(AD20= "FOUT","ONGELDIG",IF(LEN(SUBSTITUTE(SUBSTITUTE("|"&amp;$AD$14&amp;"|"&amp;$AF$14&amp;"|"&amp;$AD$16&amp;"|"&amp;$AF$16&amp;"|"&amp;$AD$18&amp;"|"&amp;$AF$18&amp;"|"&amp;$AD$20&amp;"|"&amp;$AF$20&amp;"|"&amp;$AD$22&amp;"|"&amp;$AF$22&amp;"|"&amp;$AD$24&amp;"|"&amp;$AF$24&amp;"|"&amp;$AD$26&amp;"|"&amp;$AF$26&amp;"|"&amp;$AD$28&amp;"|"&amp;$AF$28&amp;"|","LEEG","##"),AD20,"CONTROLE"))=$AJ$30,"GOED","DUBBEL")))</f>
        <v>GOED</v>
      </c>
      <c r="AI21" s="5"/>
      <c r="AJ21" s="415" t="str">
        <f ca="1">IF(AF20="LEEG","LEEG",IF(AF20= "FOUT","ONGELDIG",IF(LEN(SUBSTITUTE(SUBSTITUTE("|"&amp;$AD$14&amp;"|"&amp;$AF$14&amp;"|"&amp;$AD$16&amp;"|"&amp;$AF$16&amp;"|"&amp;$AD$18&amp;"|"&amp;$AF$18&amp;"|"&amp;$AD$20&amp;"|"&amp;$AF$20&amp;"|"&amp;$AD$22&amp;"|"&amp;$AF$22&amp;"|"&amp;$AD$24&amp;"|"&amp;$AF$24&amp;"|"&amp;$AD$26&amp;"|"&amp;$AF$26&amp;"|"&amp;$AD$28&amp;"|"&amp;$AF$28&amp;"|","LEEG","##"),AF20,"CONTROLE"))=$AJ$30,"GOED","DUBBEL")))</f>
        <v>GOED</v>
      </c>
      <c r="AK21" s="141"/>
      <c r="AL21" s="141"/>
      <c r="AM21" s="141"/>
      <c r="AN21" s="141"/>
      <c r="AO21" s="141"/>
      <c r="AP21" s="91"/>
      <c r="AQ21" s="291" t="str">
        <f ca="1">VLOOKUP(AR21,Voorblad!$X$67:$Z$98,2,FALSE)</f>
        <v>Italië</v>
      </c>
      <c r="AR21" s="292" t="str">
        <f>AR18&amp;3</f>
        <v>B3</v>
      </c>
      <c r="AS21" s="291" t="str">
        <f ca="1">IF(AT21=$AR$11,$AQ$11,IF(AT21=$AR$12,$AQ$12,VLOOKUP(AT21,Voorblad!$X$67:$Z$98,2,FALSE)))</f>
        <v>Portugal</v>
      </c>
      <c r="AT21" s="292" t="str">
        <f t="shared" ca="1" si="0"/>
        <v>F3</v>
      </c>
      <c r="AU21" s="291" t="str">
        <f ca="1">IF(AV21=$AR$11,$AQ$11,IF(AV21=$AR$12,$AQ$12,VLOOKUP(AV21,Voorblad!$X$67:$Z$98,2,FALSE)))</f>
        <v>Oekraïne</v>
      </c>
      <c r="AV21" s="292" t="str">
        <f t="shared" ca="1" si="1"/>
        <v>E4</v>
      </c>
      <c r="AW21" s="291" t="str">
        <f ca="1">IF(AX21=$AR$11,$AQ$11,IF(AX21=$AR$12,$AQ$12,VLOOKUP(AX21,Voorblad!$X$67:$Z$98,2,FALSE)))</f>
        <v>Slovenië</v>
      </c>
      <c r="AX21" s="292" t="str">
        <f t="shared" ca="1" si="2"/>
        <v>C1</v>
      </c>
      <c r="AY21" s="291" t="str">
        <f ca="1">IF(AZ21=$AR$11,$AQ$11,IF(AZ21=$AR$12,$AQ$12,VLOOKUP(AZ21,Voorblad!$X$67:$Z$98,2,FALSE)))</f>
        <v>Kroatië</v>
      </c>
      <c r="AZ21" s="292" t="str">
        <f t="shared" ca="1" si="3"/>
        <v>B2</v>
      </c>
      <c r="BA21" s="672">
        <f t="shared" si="4"/>
        <v>22</v>
      </c>
    </row>
    <row r="22" spans="1:53" ht="15" customHeight="1" x14ac:dyDescent="0.25">
      <c r="A22" s="173"/>
      <c r="B22" s="17"/>
      <c r="C22" s="949"/>
      <c r="D22" s="6">
        <f>D20+3</f>
        <v>42</v>
      </c>
      <c r="E22" s="11">
        <f>E18+1</f>
        <v>45474.75</v>
      </c>
      <c r="F22" s="134">
        <f>E22+TIME(0,0,0)</f>
        <v>45474.75</v>
      </c>
      <c r="G22" s="1192" t="str">
        <f ca="1">" "&amp;Taal04!$B$75&amp;" D"</f>
        <v xml:space="preserve"> Nr.2 Groep D</v>
      </c>
      <c r="H22" s="1192"/>
      <c r="I22" s="1192"/>
      <c r="J22" s="1192"/>
      <c r="K22" s="1192"/>
      <c r="L22" s="667" t="s">
        <v>853</v>
      </c>
      <c r="M22" s="665"/>
      <c r="N22" s="666" t="str">
        <f ca="1">IF(AK22="LEEG","▼   ","")&amp;"-  "</f>
        <v xml:space="preserve">-  </v>
      </c>
      <c r="O22" s="1192" t="str">
        <f ca="1">" "&amp;Taal04!$B$75&amp;" E"</f>
        <v xml:space="preserve"> Nr.2 Groep E</v>
      </c>
      <c r="P22" s="1192"/>
      <c r="Q22" s="1192"/>
      <c r="R22" s="1192"/>
      <c r="S22" s="1192"/>
      <c r="T22" s="1192"/>
      <c r="U22" s="667" t="s">
        <v>2468</v>
      </c>
      <c r="V22" s="666" t="str">
        <f ca="1">IF(AL22="LEEG","▼   ","")&amp;": "</f>
        <v xml:space="preserve">: </v>
      </c>
      <c r="W22" s="738">
        <v>3</v>
      </c>
      <c r="X22" s="940" t="s">
        <v>12</v>
      </c>
      <c r="Y22" s="738">
        <v>1</v>
      </c>
      <c r="Z22" s="958"/>
      <c r="AA22" s="17"/>
      <c r="AB22" s="851">
        <f>IF(AND(AM22="GOED",AN22="GOED"),W22+Y22,0)</f>
        <v>4</v>
      </c>
      <c r="AC22" s="271" t="str">
        <f ca="1">IF(OR(L22="",ISBLANK(L22)),"OO",IF(TYPE(VLOOKUP(L22,Taal02!$C$100:$D$419,2,FALSE))=16,"XX",VLOOKUP(L22,Taal02!$C$100:$D$419,2,FALSE)))</f>
        <v>D2</v>
      </c>
      <c r="AD22" s="235" t="str">
        <f ca="1">IF(AC22="OO","LEEG",IF(AC22="XX","FOUT",VLOOKUP(AC22,Voorblad!$X$65:$Z$98,3,FALSE)))</f>
        <v>NL</v>
      </c>
      <c r="AE22" s="271" t="str">
        <f ca="1">IF(OR(U22="",ISBLANK(U22)),"OO",IF(TYPE(VLOOKUP(U22,Taal02!$C$100:$D$419,2,FALSE))=16,"XX",VLOOKUP(U22,Taal02!$C$100:$D$419,2,FALSE)))</f>
        <v>E4</v>
      </c>
      <c r="AF22" s="235" t="str">
        <f ca="1">IF(AE22="OO","LEEG",IF(AE22="XX","FOUT",VLOOKUP(AE22,Voorblad!$X$65:$Z$98,3,FALSE)))</f>
        <v>UA</v>
      </c>
      <c r="AG22" s="5"/>
      <c r="AH22" s="10" t="s">
        <v>121</v>
      </c>
      <c r="AI22" s="10" t="s">
        <v>12</v>
      </c>
      <c r="AJ22" s="10" t="s">
        <v>125</v>
      </c>
      <c r="AK22" s="4" t="str">
        <f ca="1">IF(AD22="LEEG","LEEG",IF(TYPE(AD22)=2,IF(LEN(AD22)=2,IF(AND($AI$11=0,AH23="DUBBEL"),"ONGELDIG","GOED"),"ONGELDIG"),"ONGELDIG"))</f>
        <v>GOED</v>
      </c>
      <c r="AL22" s="4" t="str">
        <f ca="1">IF(AF22="LEEG","LEEG",IF(TYPE(AF22)=2,IF(LEN(AF22)=2,IF(AND($AI$11=0,AJ23="DUBBEL"),"ONGELDIG","GOED"),"ONGELDIG"),"ONGELDIG"))</f>
        <v>GOED</v>
      </c>
      <c r="AM22" s="4" t="str">
        <f>IF(ISBLANK(W22),"LEEG",IF(TYPE(W22)=1,IF(AND(W22&lt;10,W22&gt;=0),IF(W22=ROUND(W22,0),"GOED","ONGELDIG"),"ONGELDIG"),"ONGELDIG"))</f>
        <v>GOED</v>
      </c>
      <c r="AN22" s="4" t="str">
        <f>IF(ISBLANK(Y22),"LEEG",IF(TYPE(Y22)=1,IF(AND(Y22&lt;10,Y22&gt;=0),IF(Y22=ROUND(Y22,0),"GOED","ONGELDIG"),"ONGELDIG"),"ONGELDIG"))</f>
        <v>GOED</v>
      </c>
      <c r="AO22" s="138" t="str">
        <f ca="1">IF(AK22="GOED",IF(AL22="GOED",IF(AM22="GOED",IF(AN22="GOED",AD22&amp;AF22&amp;W22&amp;Y22&amp;"|","FOUT"),"FOUT"),"FOUT"),"FOUT")</f>
        <v>NLUA31|</v>
      </c>
      <c r="AP22" s="91">
        <f ca="1">LEN(AO22)</f>
        <v>7</v>
      </c>
      <c r="AQ22" s="293" t="str">
        <f ca="1">VLOOKUP(AR22,Voorblad!$X$67:$Z$98,2,FALSE)</f>
        <v>Albanië</v>
      </c>
      <c r="AR22" s="295" t="str">
        <f>AR18&amp;4</f>
        <v>B4</v>
      </c>
      <c r="AS22" s="291" t="str">
        <f ca="1">IF(AT22=$AR$11,$AQ$11,IF(AT22=$AR$12,$AQ$12,VLOOKUP(AT22,Voorblad!$X$67:$Z$98,2,FALSE)))</f>
        <v>Roemenië</v>
      </c>
      <c r="AT22" s="292" t="str">
        <f t="shared" ca="1" si="0"/>
        <v>E3</v>
      </c>
      <c r="AU22" s="291" t="str">
        <f ca="1">IF(AV22=$AR$11,$AQ$11,IF(AV22=$AR$12,$AQ$12,VLOOKUP(AV22,Voorblad!$X$67:$Z$98,2,FALSE)))</f>
        <v>Polen</v>
      </c>
      <c r="AV22" s="292" t="str">
        <f t="shared" ca="1" si="1"/>
        <v>D1</v>
      </c>
      <c r="AW22" s="291" t="str">
        <f ca="1">IF(AX22=$AR$11,$AQ$11,IF(AX22=$AR$12,$AQ$12,VLOOKUP(AX22,Voorblad!$X$67:$Z$98,2,FALSE)))</f>
        <v>Spanje</v>
      </c>
      <c r="AX22" s="292" t="str">
        <f t="shared" ca="1" si="2"/>
        <v>B1</v>
      </c>
      <c r="AY22" s="291" t="str">
        <f ca="1">IF(AZ22=$AR$11,$AQ$11,IF(AZ22=$AR$12,$AQ$12,VLOOKUP(AZ22,Voorblad!$X$67:$Z$98,2,FALSE)))</f>
        <v>Nederland</v>
      </c>
      <c r="AZ22" s="292" t="str">
        <f t="shared" ca="1" si="3"/>
        <v>D2</v>
      </c>
      <c r="BA22" s="672">
        <f t="shared" si="4"/>
        <v>24</v>
      </c>
    </row>
    <row r="23" spans="1:53" ht="18.95" customHeight="1" x14ac:dyDescent="0.25">
      <c r="A23" s="173"/>
      <c r="B23" s="17"/>
      <c r="C23" s="949"/>
      <c r="D23" s="17"/>
      <c r="E23" s="17"/>
      <c r="F23" s="17"/>
      <c r="G23" s="1210" t="str">
        <f ca="1">IF($AB$9=1," "&amp;AC23,IF($AB$9=2,IF(AC22="OO"," "&amp;AC23,""),""))</f>
        <v xml:space="preserve"> Nederland</v>
      </c>
      <c r="H23" s="1210"/>
      <c r="I23" s="1210"/>
      <c r="J23" s="1210"/>
      <c r="K23" s="1210"/>
      <c r="L23" s="1210"/>
      <c r="M23" s="17"/>
      <c r="N23" s="17"/>
      <c r="O23" s="1210" t="str">
        <f ca="1">IF($AB$9=1," "&amp;AE23,IF($AB$9=2,IF(AE22="OO"," "&amp;AE23,""),""))</f>
        <v xml:space="preserve"> Oekraïne</v>
      </c>
      <c r="P23" s="1210"/>
      <c r="Q23" s="1210"/>
      <c r="R23" s="1210"/>
      <c r="S23" s="1210"/>
      <c r="T23" s="1210"/>
      <c r="U23" s="1210"/>
      <c r="V23" s="17"/>
      <c r="W23" s="17"/>
      <c r="X23" s="262"/>
      <c r="Y23" s="17"/>
      <c r="Z23" s="958"/>
      <c r="AA23" s="17"/>
      <c r="AB23" s="850"/>
      <c r="AC23" s="1193" t="str">
        <f ca="1">AM90</f>
        <v>Nederland</v>
      </c>
      <c r="AD23" s="1193"/>
      <c r="AE23" s="1193" t="str">
        <f ca="1">AO90</f>
        <v>Oekraïne</v>
      </c>
      <c r="AF23" s="1193"/>
      <c r="AG23" s="716" t="str">
        <f ca="1">IF(AO22="FOUT","",IF(W22&gt;Y22,AC22,IF(W22&lt;Y22,AE22,AC22&amp;AE22)))</f>
        <v>D2</v>
      </c>
      <c r="AH23" s="415" t="str">
        <f ca="1">IF(AD22="LEEG","LEEG",IF(AD22= "FOUT","ONGELDIG",IF(LEN(SUBSTITUTE(SUBSTITUTE("|"&amp;$AD$14&amp;"|"&amp;$AF$14&amp;"|"&amp;$AD$16&amp;"|"&amp;$AF$16&amp;"|"&amp;$AD$18&amp;"|"&amp;$AF$18&amp;"|"&amp;$AD$20&amp;"|"&amp;$AF$20&amp;"|"&amp;$AD$22&amp;"|"&amp;$AF$22&amp;"|"&amp;$AD$24&amp;"|"&amp;$AF$24&amp;"|"&amp;$AD$26&amp;"|"&amp;$AF$26&amp;"|"&amp;$AD$28&amp;"|"&amp;$AF$28&amp;"|","LEEG","##"),AD22,"CONTROLE"))=$AJ$30,"GOED","DUBBEL")))</f>
        <v>GOED</v>
      </c>
      <c r="AI23" s="5"/>
      <c r="AJ23" s="415" t="str">
        <f ca="1">IF(AF22="LEEG","LEEG",IF(AF22= "FOUT","ONGELDIG",IF(LEN(SUBSTITUTE(SUBSTITUTE("|"&amp;$AD$14&amp;"|"&amp;$AF$14&amp;"|"&amp;$AD$16&amp;"|"&amp;$AF$16&amp;"|"&amp;$AD$18&amp;"|"&amp;$AF$18&amp;"|"&amp;$AD$20&amp;"|"&amp;$AF$20&amp;"|"&amp;$AD$22&amp;"|"&amp;$AF$22&amp;"|"&amp;$AD$24&amp;"|"&amp;$AF$24&amp;"|"&amp;$AD$26&amp;"|"&amp;$AF$26&amp;"|"&amp;$AD$28&amp;"|"&amp;$AF$28&amp;"|","LEEG","##"),AF22,"CONTROLE"))=$AJ$30,"GOED","DUBBEL")))</f>
        <v>GOED</v>
      </c>
      <c r="AK23" s="4"/>
      <c r="AL23" s="4"/>
      <c r="AM23" s="4"/>
      <c r="AN23" s="4"/>
      <c r="AO23" s="138"/>
      <c r="AP23" s="91"/>
      <c r="AQ23" s="287"/>
      <c r="AR23" s="289" t="s">
        <v>4</v>
      </c>
      <c r="AS23" s="291" t="str">
        <f ca="1">IF(AT23=$AR$11,$AQ$11,IF(AT23=$AR$12,$AQ$12,VLOOKUP(AT23,Voorblad!$X$67:$Z$98,2,FALSE)))</f>
        <v>Turkije</v>
      </c>
      <c r="AT23" s="292" t="str">
        <f t="shared" ca="1" si="0"/>
        <v>F1</v>
      </c>
      <c r="AU23" s="291" t="str">
        <f ca="1">IF(AV23=$AR$11,$AQ$11,IF(AV23=$AR$12,$AQ$12,VLOOKUP(AV23,Voorblad!$X$67:$Z$98,2,FALSE)))</f>
        <v>Portugal</v>
      </c>
      <c r="AV23" s="292" t="str">
        <f t="shared" ca="1" si="1"/>
        <v>F3</v>
      </c>
      <c r="AW23" s="291" t="str">
        <f ca="1">IF(AX23=$AR$11,$AQ$11,IF(AX23=$AR$12,$AQ$12,VLOOKUP(AX23,Voorblad!$X$67:$Z$98,2,FALSE)))</f>
        <v>Zwitserland</v>
      </c>
      <c r="AX23" s="292" t="str">
        <f t="shared" ca="1" si="2"/>
        <v>A4</v>
      </c>
      <c r="AY23" s="291" t="str">
        <f ca="1">IF(AZ23=$AR$11,$AQ$11,IF(AZ23=$AR$12,$AQ$12,VLOOKUP(AZ23,Voorblad!$X$67:$Z$98,2,FALSE)))</f>
        <v>Polen</v>
      </c>
      <c r="AZ23" s="292" t="str">
        <f t="shared" ca="1" si="3"/>
        <v>D1</v>
      </c>
      <c r="BA23" s="292">
        <f t="shared" si="4"/>
        <v>26</v>
      </c>
    </row>
    <row r="24" spans="1:53" ht="15" customHeight="1" x14ac:dyDescent="0.25">
      <c r="A24" s="173"/>
      <c r="B24" s="17"/>
      <c r="C24" s="949"/>
      <c r="D24" s="6">
        <f>D22-1</f>
        <v>41</v>
      </c>
      <c r="E24" s="11">
        <f>E20+1</f>
        <v>45474.875</v>
      </c>
      <c r="F24" s="134">
        <f>E24+TIME(0,0,0)</f>
        <v>45474.875</v>
      </c>
      <c r="G24" s="1192" t="str">
        <f ca="1">" "&amp;Taal04!$B$74&amp;" F"</f>
        <v xml:space="preserve"> Nr.1 Groep F</v>
      </c>
      <c r="H24" s="1192"/>
      <c r="I24" s="1192"/>
      <c r="J24" s="1192"/>
      <c r="K24" s="1192"/>
      <c r="L24" s="667" t="s">
        <v>466</v>
      </c>
      <c r="M24" s="665"/>
      <c r="N24" s="666" t="str">
        <f ca="1">IF(AK24="LEEG","▼   ","")&amp;"-  "</f>
        <v xml:space="preserve">-  </v>
      </c>
      <c r="O24" s="1192" t="str">
        <f ca="1">" "&amp;Taal04!$B$76&amp;" A/B/C"</f>
        <v xml:space="preserve"> Nr.3 Groep A/B/C</v>
      </c>
      <c r="P24" s="1192"/>
      <c r="Q24" s="1192"/>
      <c r="R24" s="1192"/>
      <c r="S24" s="1192"/>
      <c r="T24" s="1192"/>
      <c r="U24" s="668" t="s">
        <v>2193</v>
      </c>
      <c r="V24" s="666" t="str">
        <f ca="1">IF(AL24="LEEG","▼   ","")&amp;": "</f>
        <v xml:space="preserve">: </v>
      </c>
      <c r="W24" s="738">
        <v>1</v>
      </c>
      <c r="X24" s="940" t="s">
        <v>12</v>
      </c>
      <c r="Y24" s="738">
        <v>1</v>
      </c>
      <c r="Z24" s="958"/>
      <c r="AA24" s="17"/>
      <c r="AB24" s="851">
        <f>IF(AND(AM24="GOED",AN24="GOED"),W24+Y24,0)</f>
        <v>2</v>
      </c>
      <c r="AC24" s="271" t="str">
        <f ca="1">IF(OR(L24="",ISBLANK(L24)),"OO",IF(TYPE(VLOOKUP(L24,Taal02!$C$100:$D$419,2,FALSE))=16,"XX",VLOOKUP(L24,Taal02!$C$100:$D$419,2,FALSE)))</f>
        <v>F3</v>
      </c>
      <c r="AD24" s="235" t="str">
        <f ca="1">IF(AC24="OO","LEEG",IF(AC24="XX","FOUT",VLOOKUP(AC24,Voorblad!$X$65:$Z$98,3,FALSE)))</f>
        <v>PT</v>
      </c>
      <c r="AE24" s="271" t="str">
        <f ca="1">IF(OR(U24="",ISBLANK(U24)),"OO",IF(TYPE(VLOOKUP(U24,Taal02!$C$100:$D$419,2,FALSE))=16,"XX",VLOOKUP(U24,Taal02!$C$100:$D$419,2,FALSE)))</f>
        <v>B3</v>
      </c>
      <c r="AF24" s="235" t="str">
        <f ca="1">IF(AE24="OO","LEEG",IF(AE24="XX","FOUT",VLOOKUP(AE24,Voorblad!$X$65:$Z$98,3,FALSE)))</f>
        <v>IT</v>
      </c>
      <c r="AG24" s="5"/>
      <c r="AH24" s="10" t="s">
        <v>129</v>
      </c>
      <c r="AI24" s="10" t="s">
        <v>12</v>
      </c>
      <c r="AJ24" s="10" t="s">
        <v>2495</v>
      </c>
      <c r="AK24" s="4" t="str">
        <f ca="1">IF(AD24="LEEG","LEEG",IF(TYPE(AD24)=2,IF(LEN(AD24)=2,IF(AND($AI$11=0,AH25="DUBBEL"),"ONGELDIG","GOED"),"ONGELDIG"),"ONGELDIG"))</f>
        <v>GOED</v>
      </c>
      <c r="AL24" s="4" t="str">
        <f ca="1">IF(AF24="LEEG","LEEG",IF(TYPE(AF24)=2,IF(LEN(AF24)=2,IF(AND($AI$11=0,AJ25="DUBBEL"),"ONGELDIG","GOED"),"ONGELDIG"),"ONGELDIG"))</f>
        <v>GOED</v>
      </c>
      <c r="AM24" s="4" t="str">
        <f>IF(ISBLANK(W24),"LEEG",IF(TYPE(W24)=1,IF(AND(W24&lt;10,W24&gt;=0),IF(W24=ROUND(W24,0),"GOED","ONGELDIG"),"ONGELDIG"),"ONGELDIG"))</f>
        <v>GOED</v>
      </c>
      <c r="AN24" s="4" t="str">
        <f>IF(ISBLANK(Y24),"LEEG",IF(TYPE(Y24)=1,IF(AND(Y24&lt;10,Y24&gt;=0),IF(Y24=ROUND(Y24,0),"GOED","ONGELDIG"),"ONGELDIG"),"ONGELDIG"))</f>
        <v>GOED</v>
      </c>
      <c r="AO24" s="138" t="str">
        <f ca="1">IF(AK24="GOED",IF(AL24="GOED",IF(AM24="GOED",IF(AN24="GOED",AD24&amp;AF24&amp;W24&amp;Y24&amp;"|","FOUT"),"FOUT"),"FOUT"),"FOUT")</f>
        <v>PTIT11|</v>
      </c>
      <c r="AP24" s="91">
        <f ca="1">LEN(AO24)</f>
        <v>7</v>
      </c>
      <c r="AQ24" s="291" t="str">
        <f ca="1">VLOOKUP(AR24,Voorblad!$X$67:$Z$98,2,FALSE)</f>
        <v>Slovenië</v>
      </c>
      <c r="AR24" s="292" t="str">
        <f>AR23&amp;1</f>
        <v>C1</v>
      </c>
      <c r="AS24" s="291" t="str">
        <f ca="1">IF(AT24=$AR$11,$AQ$11,IF(AT24=$AR$12,$AQ$12,VLOOKUP(AT24,Voorblad!$X$67:$Z$98,2,FALSE)))</f>
        <v/>
      </c>
      <c r="AT24" s="292" t="str">
        <f t="shared" ca="1" si="0"/>
        <v>??</v>
      </c>
      <c r="AU24" s="291" t="str">
        <f ca="1">IF(AV24=$AR$11,$AQ$11,IF(AV24=$AR$12,$AQ$12,VLOOKUP(AV24,Voorblad!$X$67:$Z$98,2,FALSE)))</f>
        <v>Roemenië</v>
      </c>
      <c r="AV24" s="292" t="str">
        <f t="shared" ca="1" si="1"/>
        <v>E3</v>
      </c>
      <c r="AW24" s="291" t="str">
        <f ca="1">IF(AX24=$AR$11,$AQ$11,IF(AX24=$AR$12,$AQ$12,VLOOKUP(AX24,Voorblad!$X$67:$Z$98,2,FALSE)))</f>
        <v/>
      </c>
      <c r="AX24" s="292" t="str">
        <f t="shared" ca="1" si="2"/>
        <v>??</v>
      </c>
      <c r="AY24" s="291" t="str">
        <f ca="1">IF(AZ24=$AR$11,$AQ$11,IF(AZ24=$AR$12,$AQ$12,VLOOKUP(AZ24,Voorblad!$X$67:$Z$98,2,FALSE)))</f>
        <v>Schotland</v>
      </c>
      <c r="AZ24" s="292" t="str">
        <f ca="1">RIGHT(LEFT($AL$92,$BA24),2)</f>
        <v>A2</v>
      </c>
      <c r="BA24" s="292">
        <f t="shared" si="4"/>
        <v>28</v>
      </c>
    </row>
    <row r="25" spans="1:53" ht="18.95" customHeight="1" x14ac:dyDescent="0.25">
      <c r="A25" s="173"/>
      <c r="B25" s="17"/>
      <c r="C25" s="949"/>
      <c r="D25" s="17"/>
      <c r="E25" s="17"/>
      <c r="F25" s="17"/>
      <c r="G25" s="1210" t="str">
        <f ca="1">IF($AB$9=1," "&amp;AC25,IF($AB$9=2,IF(AC24="OO"," "&amp;AC25,""),""))</f>
        <v xml:space="preserve"> Portugal</v>
      </c>
      <c r="H25" s="1210"/>
      <c r="I25" s="1210"/>
      <c r="J25" s="1210"/>
      <c r="K25" s="1210"/>
      <c r="L25" s="1210"/>
      <c r="M25" s="17"/>
      <c r="N25" s="17"/>
      <c r="O25" s="1210" t="str">
        <f ca="1">IF($AB$9=1," "&amp;AE25,IF($AB$9=2,IF(AE24="OO"," "&amp;AE25,""),""))</f>
        <v xml:space="preserve"> Hongarije / Italië / Servië</v>
      </c>
      <c r="P25" s="1210"/>
      <c r="Q25" s="1210"/>
      <c r="R25" s="1210"/>
      <c r="S25" s="1210"/>
      <c r="T25" s="1210"/>
      <c r="U25" s="1210"/>
      <c r="V25" s="17"/>
      <c r="W25" s="17"/>
      <c r="X25" s="262"/>
      <c r="Y25" s="17"/>
      <c r="Z25" s="958"/>
      <c r="AA25" s="17"/>
      <c r="AB25" s="850"/>
      <c r="AC25" s="1193" t="str">
        <f ca="1">AM91</f>
        <v>Portugal</v>
      </c>
      <c r="AD25" s="1193"/>
      <c r="AE25" s="1193" t="str">
        <f ca="1">AO91</f>
        <v>Hongarije / Italië / Servië</v>
      </c>
      <c r="AF25" s="1193"/>
      <c r="AG25" s="716" t="str">
        <f ca="1">IF(AO24="FOUT","",IF(W24&gt;Y24,AC24,IF(W24&lt;Y24,AE24,AC24&amp;AE24)))</f>
        <v>F3B3</v>
      </c>
      <c r="AH25" s="415" t="str">
        <f ca="1">IF(AD24="LEEG","LEEG",IF(AD24= "FOUT","ONGELDIG",IF(LEN(SUBSTITUTE(SUBSTITUTE("|"&amp;$AD$14&amp;"|"&amp;$AF$14&amp;"|"&amp;$AD$16&amp;"|"&amp;$AF$16&amp;"|"&amp;$AD$18&amp;"|"&amp;$AF$18&amp;"|"&amp;$AD$20&amp;"|"&amp;$AF$20&amp;"|"&amp;$AD$22&amp;"|"&amp;$AF$22&amp;"|"&amp;$AD$24&amp;"|"&amp;$AF$24&amp;"|"&amp;$AD$26&amp;"|"&amp;$AF$26&amp;"|"&amp;$AD$28&amp;"|"&amp;$AF$28&amp;"|","LEEG","##"),AD24,"CONTROLE"))=$AJ$30,"GOED","DUBBEL")))</f>
        <v>GOED</v>
      </c>
      <c r="AI25" s="5"/>
      <c r="AJ25" s="415" t="str">
        <f ca="1">IF(AF24="LEEG","LEEG",IF(AF24= "FOUT","ONGELDIG",IF(LEN(SUBSTITUTE(SUBSTITUTE("|"&amp;$AD$14&amp;"|"&amp;$AF$14&amp;"|"&amp;$AD$16&amp;"|"&amp;$AF$16&amp;"|"&amp;$AD$18&amp;"|"&amp;$AF$18&amp;"|"&amp;$AD$20&amp;"|"&amp;$AF$20&amp;"|"&amp;$AD$22&amp;"|"&amp;$AF$22&amp;"|"&amp;$AD$24&amp;"|"&amp;$AF$24&amp;"|"&amp;$AD$26&amp;"|"&amp;$AF$26&amp;"|"&amp;$AD$28&amp;"|"&amp;$AF$28&amp;"|","LEEG","##"),AF24,"CONTROLE"))=$AJ$30,"GOED","DUBBEL")))</f>
        <v>GOED</v>
      </c>
      <c r="AK25" s="4"/>
      <c r="AL25" s="4"/>
      <c r="AM25" s="4"/>
      <c r="AN25" s="4"/>
      <c r="AO25" s="138"/>
      <c r="AP25" s="91"/>
      <c r="AQ25" s="291" t="str">
        <f ca="1">VLOOKUP(AR25,Voorblad!$X$67:$Z$98,2,FALSE)</f>
        <v>Denemarken</v>
      </c>
      <c r="AR25" s="292" t="str">
        <f>AR23&amp;2</f>
        <v>C2</v>
      </c>
      <c r="AS25" s="291" t="str">
        <f ca="1">IF(AT25=$AR$11,$AQ$11,IF(AT25=$AR$12,$AQ$12,VLOOKUP(AT25,Voorblad!$X$67:$Z$98,2,FALSE)))</f>
        <v/>
      </c>
      <c r="AT25" s="292" t="str">
        <f t="shared" ca="1" si="0"/>
        <v>??</v>
      </c>
      <c r="AU25" s="291" t="str">
        <f ca="1">IF(AV25=$AR$11,$AQ$11,IF(AV25=$AR$12,$AQ$12,VLOOKUP(AV25,Voorblad!$X$67:$Z$98,2,FALSE)))</f>
        <v>Schotland</v>
      </c>
      <c r="AV25" s="292" t="str">
        <f t="shared" ca="1" si="1"/>
        <v>A2</v>
      </c>
      <c r="AW25" s="291" t="str">
        <f ca="1">IF(AX25=$AR$11,$AQ$11,IF(AX25=$AR$12,$AQ$12,VLOOKUP(AX25,Voorblad!$X$67:$Z$98,2,FALSE)))</f>
        <v/>
      </c>
      <c r="AX25" s="292" t="str">
        <f t="shared" ca="1" si="2"/>
        <v>??</v>
      </c>
      <c r="AY25" s="291" t="str">
        <f ca="1">IF(AZ25=$AR$11,$AQ$11,IF(AZ25=$AR$12,$AQ$12,VLOOKUP(AZ25,Voorblad!$X$67:$Z$98,2,FALSE)))</f>
        <v>Slovenië</v>
      </c>
      <c r="AZ25" s="292" t="str">
        <f ca="1">RIGHT(LEFT($AL$92,$BA25),2)</f>
        <v>C1</v>
      </c>
      <c r="BA25" s="292">
        <f t="shared" si="4"/>
        <v>30</v>
      </c>
    </row>
    <row r="26" spans="1:53" ht="15" customHeight="1" x14ac:dyDescent="0.25">
      <c r="A26" s="173"/>
      <c r="B26" s="17"/>
      <c r="C26" s="949"/>
      <c r="D26" s="6">
        <f>D24+2</f>
        <v>43</v>
      </c>
      <c r="E26" s="11">
        <f>E22+1</f>
        <v>45475.75</v>
      </c>
      <c r="F26" s="134">
        <f>E26+TIME(0,0,0)</f>
        <v>45475.75</v>
      </c>
      <c r="G26" s="1192" t="str">
        <f ca="1">" "&amp;Taal04!$B$74&amp;" E"</f>
        <v xml:space="preserve"> Nr.1 Groep E</v>
      </c>
      <c r="H26" s="1192"/>
      <c r="I26" s="1192"/>
      <c r="J26" s="1192"/>
      <c r="K26" s="1192"/>
      <c r="L26" s="667" t="s">
        <v>463</v>
      </c>
      <c r="M26" s="665"/>
      <c r="N26" s="666" t="str">
        <f ca="1">IF(AK26="LEEG","▼   ","")&amp;"-  "</f>
        <v xml:space="preserve">-  </v>
      </c>
      <c r="O26" s="1192" t="str">
        <f ca="1">" "&amp;Taal04!$B$76&amp;" A/B/C/D"</f>
        <v xml:space="preserve"> Nr.3 Groep A/B/C/D</v>
      </c>
      <c r="P26" s="1192"/>
      <c r="Q26" s="1192"/>
      <c r="R26" s="1192"/>
      <c r="S26" s="1192"/>
      <c r="T26" s="1192"/>
      <c r="U26" s="667" t="s">
        <v>1853</v>
      </c>
      <c r="V26" s="666" t="str">
        <f ca="1">IF(AL26="LEEG","▼   ","")&amp;": "</f>
        <v xml:space="preserve">: </v>
      </c>
      <c r="W26" s="738">
        <v>2</v>
      </c>
      <c r="X26" s="940" t="s">
        <v>12</v>
      </c>
      <c r="Y26" s="738">
        <v>1</v>
      </c>
      <c r="Z26" s="958"/>
      <c r="AA26" s="17"/>
      <c r="AB26" s="851">
        <f>IF(AND(AM26="GOED",AN26="GOED"),W26+Y26,0)</f>
        <v>3</v>
      </c>
      <c r="AC26" s="271" t="str">
        <f ca="1">IF(OR(L26="",ISBLANK(L26)),"OO",IF(TYPE(VLOOKUP(L26,Taal02!$C$100:$D$419,2,FALSE))=16,"XX",VLOOKUP(L26,Taal02!$C$100:$D$419,2,FALSE)))</f>
        <v>E1</v>
      </c>
      <c r="AD26" s="235" t="str">
        <f ca="1">IF(AC26="OO","LEEG",IF(AC26="XX","FOUT",VLOOKUP(AC26,Voorblad!$X$65:$Z$98,3,FALSE)))</f>
        <v>BE</v>
      </c>
      <c r="AE26" s="271" t="str">
        <f ca="1">IF(OR(U26="",ISBLANK(U26)),"OO",IF(TYPE(VLOOKUP(U26,Taal02!$C$100:$D$419,2,FALSE))=16,"XX",VLOOKUP(U26,Taal02!$C$100:$D$419,2,FALSE)))</f>
        <v>C3</v>
      </c>
      <c r="AF26" s="235" t="str">
        <f ca="1">IF(AE26="OO","LEEG",IF(AE26="XX","FOUT",VLOOKUP(AE26,Voorblad!$X$65:$Z$98,3,FALSE)))</f>
        <v>RS</v>
      </c>
      <c r="AG26" s="5"/>
      <c r="AH26" s="10" t="s">
        <v>124</v>
      </c>
      <c r="AI26" s="10" t="s">
        <v>12</v>
      </c>
      <c r="AJ26" s="10" t="s">
        <v>2496</v>
      </c>
      <c r="AK26" s="4" t="str">
        <f ca="1">IF(AD26="LEEG","LEEG",IF(TYPE(AD26)=2,IF(LEN(AD26)=2,IF(AND($AI$11=0,AH27="DUBBEL"),"ONGELDIG","GOED"),"ONGELDIG"),"ONGELDIG"))</f>
        <v>GOED</v>
      </c>
      <c r="AL26" s="4" t="str">
        <f ca="1">IF(AF26="LEEG","LEEG",IF(TYPE(AF26)=2,IF(LEN(AF26)=2,IF(AND($AI$11=0,AJ27="DUBBEL"),"ONGELDIG","GOED"),"ONGELDIG"),"ONGELDIG"))</f>
        <v>GOED</v>
      </c>
      <c r="AM26" s="4" t="str">
        <f>IF(ISBLANK(W26),"LEEG",IF(TYPE(W26)=1,IF(AND(W26&lt;10,W26&gt;=0),IF(W26=ROUND(W26,0),"GOED","ONGELDIG"),"ONGELDIG"),"ONGELDIG"))</f>
        <v>GOED</v>
      </c>
      <c r="AN26" s="4" t="str">
        <f>IF(ISBLANK(Y26),"LEEG",IF(TYPE(Y26)=1,IF(AND(Y26&lt;10,Y26&gt;=0),IF(Y26=ROUND(Y26,0),"GOED","ONGELDIG"),"ONGELDIG"),"ONGELDIG"))</f>
        <v>GOED</v>
      </c>
      <c r="AO26" s="138" t="str">
        <f ca="1">IF(AK26="GOED",IF(AL26="GOED",IF(AM26="GOED",IF(AN26="GOED",AD26&amp;AF26&amp;W26&amp;Y26&amp;"|","FOUT"),"FOUT"),"FOUT"),"FOUT")</f>
        <v>BERS21|</v>
      </c>
      <c r="AP26" s="91">
        <f ca="1">LEN(AO26)</f>
        <v>7</v>
      </c>
      <c r="AQ26" s="291" t="str">
        <f ca="1">VLOOKUP(AR26,Voorblad!$X$67:$Z$98,2,FALSE)</f>
        <v>Servië</v>
      </c>
      <c r="AR26" s="292" t="str">
        <f>AR23&amp;3</f>
        <v>C3</v>
      </c>
      <c r="AS26" s="291" t="str">
        <f ca="1">IF(AT26=$AR$11,$AQ$11,IF(AT26=$AR$12,$AQ$12,VLOOKUP(AT26,Voorblad!$X$67:$Z$98,2,FALSE)))</f>
        <v/>
      </c>
      <c r="AT26" s="292" t="str">
        <f t="shared" ca="1" si="0"/>
        <v>??</v>
      </c>
      <c r="AU26" s="291" t="str">
        <f ca="1">IF(AV26=$AR$11,$AQ$11,IF(AV26=$AR$12,$AQ$12,VLOOKUP(AV26,Voorblad!$X$67:$Z$98,2,FALSE)))</f>
        <v>Turkije</v>
      </c>
      <c r="AV26" s="292" t="str">
        <f t="shared" ca="1" si="1"/>
        <v>F1</v>
      </c>
      <c r="AW26" s="291" t="str">
        <f ca="1">IF(AX26=$AR$11,$AQ$11,IF(AX26=$AR$12,$AQ$12,VLOOKUP(AX26,Voorblad!$X$67:$Z$98,2,FALSE)))</f>
        <v/>
      </c>
      <c r="AX26" s="292" t="str">
        <f t="shared" ca="1" si="2"/>
        <v>??</v>
      </c>
      <c r="AY26" s="291" t="str">
        <f ca="1">IF(AZ26=$AR$11,$AQ$11,IF(AZ26=$AR$12,$AQ$12,VLOOKUP(AZ26,Voorblad!$X$67:$Z$98,2,FALSE)))</f>
        <v>Spanje</v>
      </c>
      <c r="AZ26" s="292" t="str">
        <f ca="1">RIGHT(LEFT($AL$92,$BA26),2)</f>
        <v>B1</v>
      </c>
      <c r="BA26" s="672">
        <f t="shared" si="4"/>
        <v>32</v>
      </c>
    </row>
    <row r="27" spans="1:53" ht="18.95" customHeight="1" x14ac:dyDescent="0.25">
      <c r="A27" s="173"/>
      <c r="B27" s="17"/>
      <c r="C27" s="949"/>
      <c r="D27" s="17"/>
      <c r="E27" s="17"/>
      <c r="F27" s="17"/>
      <c r="G27" s="1210" t="str">
        <f ca="1">IF($AB$9=1," "&amp;AC27,IF($AB$9=2,IF(AC26="OO"," "&amp;AC27,""),""))</f>
        <v xml:space="preserve"> België</v>
      </c>
      <c r="H27" s="1210"/>
      <c r="I27" s="1210"/>
      <c r="J27" s="1210"/>
      <c r="K27" s="1210"/>
      <c r="L27" s="1210"/>
      <c r="M27" s="17"/>
      <c r="N27" s="17"/>
      <c r="O27" s="1210" t="str">
        <f ca="1">IF($AB$9=1," "&amp;AE27,IF($AB$9=2,IF(AE26="OO"," "&amp;AE27,""),""))</f>
        <v xml:space="preserve"> Hongarije / Italië / Oostenrijk / Servië</v>
      </c>
      <c r="P27" s="1210"/>
      <c r="Q27" s="1210"/>
      <c r="R27" s="1210"/>
      <c r="S27" s="1210"/>
      <c r="T27" s="1210"/>
      <c r="U27" s="1210"/>
      <c r="V27" s="17"/>
      <c r="W27" s="17"/>
      <c r="X27" s="262"/>
      <c r="Y27" s="17"/>
      <c r="Z27" s="958"/>
      <c r="AA27" s="17"/>
      <c r="AB27" s="850"/>
      <c r="AC27" s="1193" t="str">
        <f ca="1">AM92</f>
        <v>België</v>
      </c>
      <c r="AD27" s="1193"/>
      <c r="AE27" s="1193" t="str">
        <f ca="1">AO92</f>
        <v>Hongarije / Italië / Oostenrijk / Servië</v>
      </c>
      <c r="AF27" s="1193"/>
      <c r="AG27" s="716" t="str">
        <f ca="1">IF(AO26="FOUT","",IF(W26&gt;Y26,AC26,IF(W26&lt;Y26,AE26,AC26&amp;AE26)))</f>
        <v>E1</v>
      </c>
      <c r="AH27" s="415" t="str">
        <f ca="1">IF(AD26="LEEG","LEEG",IF(AD26= "FOUT","ONGELDIG",IF(LEN(SUBSTITUTE(SUBSTITUTE("|"&amp;$AD$14&amp;"|"&amp;$AF$14&amp;"|"&amp;$AD$16&amp;"|"&amp;$AF$16&amp;"|"&amp;$AD$18&amp;"|"&amp;$AF$18&amp;"|"&amp;$AD$20&amp;"|"&amp;$AF$20&amp;"|"&amp;$AD$22&amp;"|"&amp;$AF$22&amp;"|"&amp;$AD$24&amp;"|"&amp;$AF$24&amp;"|"&amp;$AD$26&amp;"|"&amp;$AF$26&amp;"|"&amp;$AD$28&amp;"|"&amp;$AF$28&amp;"|","LEEG","##"),AD26,"CONTROLE"))=$AJ$30,"GOED","DUBBEL")))</f>
        <v>GOED</v>
      </c>
      <c r="AI27" s="5"/>
      <c r="AJ27" s="415" t="str">
        <f ca="1">IF(AF26="LEEG","LEEG",IF(AF26= "FOUT","ONGELDIG",IF(LEN(SUBSTITUTE(SUBSTITUTE("|"&amp;$AD$14&amp;"|"&amp;$AF$14&amp;"|"&amp;$AD$16&amp;"|"&amp;$AF$16&amp;"|"&amp;$AD$18&amp;"|"&amp;$AF$18&amp;"|"&amp;$AD$20&amp;"|"&amp;$AF$20&amp;"|"&amp;$AD$22&amp;"|"&amp;$AF$22&amp;"|"&amp;$AD$24&amp;"|"&amp;$AF$24&amp;"|"&amp;$AD$26&amp;"|"&amp;$AF$26&amp;"|"&amp;$AD$28&amp;"|"&amp;$AF$28&amp;"|","LEEG","##"),AF26,"CONTROLE"))=$AJ$30,"GOED","DUBBEL")))</f>
        <v>GOED</v>
      </c>
      <c r="AK27" s="4"/>
      <c r="AL27" s="4"/>
      <c r="AM27" s="4"/>
      <c r="AN27" s="4"/>
      <c r="AO27" s="138"/>
      <c r="AP27" s="91"/>
      <c r="AQ27" s="293" t="str">
        <f ca="1">VLOOKUP(AR27,Voorblad!$X$67:$Z$98,2,FALSE)</f>
        <v>Engeland</v>
      </c>
      <c r="AR27" s="295" t="str">
        <f>AR23&amp;4</f>
        <v>C4</v>
      </c>
      <c r="AS27" s="291" t="str">
        <f ca="1">IF(AT27=$AR$11,$AQ$11,IF(AT27=$AR$12,$AQ$12,VLOOKUP(AT27,Voorblad!$X$67:$Z$98,2,FALSE)))</f>
        <v/>
      </c>
      <c r="AT27" s="292" t="str">
        <f t="shared" ca="1" si="0"/>
        <v>??</v>
      </c>
      <c r="AU27" s="291" t="str">
        <f ca="1">IF(AV27=$AR$11,$AQ$11,IF(AV27=$AR$12,$AQ$12,VLOOKUP(AV27,Voorblad!$X$67:$Z$98,2,FALSE)))</f>
        <v>Zwitserland</v>
      </c>
      <c r="AV27" s="292" t="str">
        <f t="shared" ca="1" si="1"/>
        <v>A4</v>
      </c>
      <c r="AW27" s="291" t="str">
        <f ca="1">IF(AX27=$AR$11,$AQ$11,IF(AX27=$AR$12,$AQ$12,VLOOKUP(AX27,Voorblad!$X$67:$Z$98,2,FALSE)))</f>
        <v/>
      </c>
      <c r="AX27" s="292" t="str">
        <f t="shared" ca="1" si="2"/>
        <v>??</v>
      </c>
      <c r="AY27" s="291" t="str">
        <f ca="1">IF(AZ27=$AR$11,$AQ$11,IF(AZ27=$AR$12,$AQ$12,VLOOKUP(AZ27,Voorblad!$X$67:$Z$98,2,FALSE)))</f>
        <v>Zwitserland</v>
      </c>
      <c r="AZ27" s="292" t="str">
        <f ca="1">RIGHT(LEFT($AL$92,$BA27),2)</f>
        <v>A4</v>
      </c>
      <c r="BA27" s="836">
        <f t="shared" si="4"/>
        <v>34</v>
      </c>
    </row>
    <row r="28" spans="1:53" ht="15" customHeight="1" x14ac:dyDescent="0.25">
      <c r="A28" s="173"/>
      <c r="B28" s="17"/>
      <c r="C28" s="949"/>
      <c r="D28" s="6">
        <f>D26+1</f>
        <v>44</v>
      </c>
      <c r="E28" s="11">
        <f>E24+1</f>
        <v>45475.875</v>
      </c>
      <c r="F28" s="134">
        <f>E28+TIME(0,0,0)</f>
        <v>45475.875</v>
      </c>
      <c r="G28" s="1192" t="str">
        <f ca="1">" "&amp;Taal04!$B$74&amp;" D"</f>
        <v xml:space="preserve"> Nr.1 Groep D</v>
      </c>
      <c r="H28" s="1192"/>
      <c r="I28" s="1192"/>
      <c r="J28" s="1192"/>
      <c r="K28" s="1192"/>
      <c r="L28" s="667" t="s">
        <v>465</v>
      </c>
      <c r="M28" s="665"/>
      <c r="N28" s="666" t="str">
        <f ca="1">IF(AK28="LEEG","▼   ","")&amp;"-  "</f>
        <v xml:space="preserve">-  </v>
      </c>
      <c r="O28" s="1192" t="str">
        <f ca="1">" "&amp;Taal04!$B$75&amp;" F"</f>
        <v xml:space="preserve"> Nr.2 Groep F</v>
      </c>
      <c r="P28" s="1192"/>
      <c r="Q28" s="1192"/>
      <c r="R28" s="1192"/>
      <c r="S28" s="1192"/>
      <c r="T28" s="1192"/>
      <c r="U28" s="668" t="s">
        <v>2204</v>
      </c>
      <c r="V28" s="666" t="str">
        <f ca="1">IF(AL28="LEEG","▼   ","")&amp;": "</f>
        <v xml:space="preserve">: </v>
      </c>
      <c r="W28" s="738">
        <v>1</v>
      </c>
      <c r="X28" s="940" t="s">
        <v>12</v>
      </c>
      <c r="Y28" s="738">
        <v>0</v>
      </c>
      <c r="Z28" s="958"/>
      <c r="AA28" s="17"/>
      <c r="AB28" s="851">
        <f>IF(AND(AM28="GOED",AN28="GOED"),W28+Y28,0)</f>
        <v>1</v>
      </c>
      <c r="AC28" s="271" t="str">
        <f ca="1">IF(OR(L28="",ISBLANK(L28)),"OO",IF(TYPE(VLOOKUP(L28,Taal02!$C$100:$D$419,2,FALSE))=16,"XX",VLOOKUP(L28,Taal02!$C$100:$D$419,2,FALSE)))</f>
        <v>D4</v>
      </c>
      <c r="AD28" s="235" t="str">
        <f ca="1">IF(AC28="OO","LEEG",IF(AC28="XX","FOUT",VLOOKUP(AC28,Voorblad!$X$65:$Z$98,3,FALSE)))</f>
        <v>FR</v>
      </c>
      <c r="AE28" s="271" t="str">
        <f ca="1">IF(OR(U28="",ISBLANK(U28)),"OO",IF(TYPE(VLOOKUP(U28,Taal02!$C$100:$D$419,2,FALSE))=16,"XX",VLOOKUP(U28,Taal02!$C$100:$D$419,2,FALSE)))</f>
        <v>F1</v>
      </c>
      <c r="AF28" s="235" t="str">
        <f ca="1">IF(AE28="OO","LEEG",IF(AE28="XX","FOUT",VLOOKUP(AE28,Voorblad!$X$65:$Z$98,3,FALSE)))</f>
        <v>TR</v>
      </c>
      <c r="AG28" s="5"/>
      <c r="AH28" s="10" t="s">
        <v>120</v>
      </c>
      <c r="AI28" s="10" t="s">
        <v>12</v>
      </c>
      <c r="AJ28" s="10" t="s">
        <v>130</v>
      </c>
      <c r="AK28" s="4" t="str">
        <f ca="1">IF(AD28="LEEG","LEEG",IF(TYPE(AD28)=2,IF(LEN(AD28)=2,IF(AND($AI$11=0,AH29="DUBBEL"),"ONGELDIG","GOED"),"ONGELDIG"),"ONGELDIG"))</f>
        <v>GOED</v>
      </c>
      <c r="AL28" s="4" t="str">
        <f ca="1">IF(AF28="LEEG","LEEG",IF(TYPE(AF28)=2,IF(LEN(AF28)=2,IF(AND($AI$11=0,AJ29="DUBBEL"),"ONGELDIG","GOED"),"ONGELDIG"),"ONGELDIG"))</f>
        <v>GOED</v>
      </c>
      <c r="AM28" s="4" t="str">
        <f>IF(ISBLANK(W28),"LEEG",IF(TYPE(W28)=1,IF(AND(W28&lt;10,W28&gt;=0),IF(W28=ROUND(W28,0),"GOED","ONGELDIG"),"ONGELDIG"),"ONGELDIG"))</f>
        <v>GOED</v>
      </c>
      <c r="AN28" s="4" t="str">
        <f>IF(ISBLANK(Y28),"LEEG",IF(TYPE(Y28)=1,IF(AND(Y28&lt;10,Y28&gt;=0),IF(Y28=ROUND(Y28,0),"GOED","ONGELDIG"),"ONGELDIG"),"ONGELDIG"))</f>
        <v>GOED</v>
      </c>
      <c r="AO28" s="138" t="str">
        <f ca="1">IF(AK28="GOED",IF(AL28="GOED",IF(AM28="GOED",IF(AN28="GOED",AD28&amp;AF28&amp;W28&amp;Y28&amp;"|","FOUT"),"FOUT"),"FOUT"),"FOUT")</f>
        <v>FRTR10|</v>
      </c>
      <c r="AP28" s="91">
        <f ca="1">LEN(AO28)</f>
        <v>7</v>
      </c>
      <c r="AQ28" s="287"/>
      <c r="AR28" s="297" t="s">
        <v>5</v>
      </c>
      <c r="AS28" s="682"/>
      <c r="AT28" s="683" t="s">
        <v>2308</v>
      </c>
      <c r="AU28" s="682"/>
      <c r="AV28" s="683" t="s">
        <v>2309</v>
      </c>
      <c r="AW28" s="682"/>
      <c r="AX28" s="683" t="s">
        <v>2312</v>
      </c>
      <c r="AY28" s="682"/>
      <c r="AZ28" s="683" t="s">
        <v>6</v>
      </c>
      <c r="BA28" s="686"/>
    </row>
    <row r="29" spans="1:53" ht="15" customHeight="1" x14ac:dyDescent="0.4">
      <c r="A29" s="173"/>
      <c r="B29" s="17"/>
      <c r="C29" s="949"/>
      <c r="D29" s="17"/>
      <c r="E29" s="17"/>
      <c r="F29" s="17"/>
      <c r="G29" s="1211" t="str">
        <f ca="1">IF($AB$9=1," "&amp;AC29,IF($AB$9=2,IF(AC28="OO"," "&amp;AC29,""),""))</f>
        <v xml:space="preserve"> Frankrijk</v>
      </c>
      <c r="H29" s="1211"/>
      <c r="I29" s="1211"/>
      <c r="J29" s="1211"/>
      <c r="K29" s="1211"/>
      <c r="L29" s="1211"/>
      <c r="M29" s="16"/>
      <c r="N29" s="16"/>
      <c r="O29" s="1211" t="str">
        <f ca="1">IF($AB$9=1," "&amp;AE29,IF($AB$9=2,IF(AE28="OO"," "&amp;AE29,""),""))</f>
        <v xml:space="preserve"> Turkije</v>
      </c>
      <c r="P29" s="1211"/>
      <c r="Q29" s="1211"/>
      <c r="R29" s="1211"/>
      <c r="S29" s="1211"/>
      <c r="T29" s="1211"/>
      <c r="U29" s="1211"/>
      <c r="V29" s="17"/>
      <c r="W29" s="17"/>
      <c r="X29" s="17"/>
      <c r="Y29" s="17"/>
      <c r="Z29" s="958"/>
      <c r="AA29" s="17"/>
      <c r="AB29" s="850"/>
      <c r="AC29" s="1193" t="str">
        <f ca="1">AM93</f>
        <v>Frankrijk</v>
      </c>
      <c r="AD29" s="1193"/>
      <c r="AE29" s="1193" t="str">
        <f ca="1">AO93</f>
        <v>Turkije</v>
      </c>
      <c r="AF29" s="1193"/>
      <c r="AG29" s="716" t="str">
        <f ca="1">IF(AO28="FOUT","",IF(W28&gt;Y28,AC28,IF(W28&lt;Y28,AE28,AC28&amp;AE28)))</f>
        <v>D4</v>
      </c>
      <c r="AH29" s="415" t="str">
        <f ca="1">IF(AD28="LEEG","LEEG",IF(AD28= "FOUT","ONGELDIG",IF(LEN(SUBSTITUTE(SUBSTITUTE("|"&amp;$AD$14&amp;"|"&amp;$AF$14&amp;"|"&amp;$AD$16&amp;"|"&amp;$AF$16&amp;"|"&amp;$AD$18&amp;"|"&amp;$AF$18&amp;"|"&amp;$AD$20&amp;"|"&amp;$AF$20&amp;"|"&amp;$AD$22&amp;"|"&amp;$AF$22&amp;"|"&amp;$AD$24&amp;"|"&amp;$AF$24&amp;"|"&amp;$AD$26&amp;"|"&amp;$AF$26&amp;"|"&amp;$AD$28&amp;"|"&amp;$AF$28&amp;"|","LEEG","##"),AD28,"CONTROLE"))=$AJ$30,"GOED","DUBBEL")))</f>
        <v>GOED</v>
      </c>
      <c r="AI29" s="5"/>
      <c r="AJ29" s="415" t="str">
        <f ca="1">IF(AF28="LEEG","LEEG",IF(AF28= "FOUT","ONGELDIG",IF(LEN(SUBSTITUTE(SUBSTITUTE("|"&amp;$AD$14&amp;"|"&amp;$AF$14&amp;"|"&amp;$AD$16&amp;"|"&amp;$AF$16&amp;"|"&amp;$AD$18&amp;"|"&amp;$AF$18&amp;"|"&amp;$AD$20&amp;"|"&amp;$AF$20&amp;"|"&amp;$AD$22&amp;"|"&amp;$AF$22&amp;"|"&amp;$AD$24&amp;"|"&amp;$AF$24&amp;"|"&amp;$AD$26&amp;"|"&amp;$AF$26&amp;"|"&amp;$AD$28&amp;"|"&amp;$AF$28&amp;"|","LEEG","##"),AF28,"CONTROLE"))=$AJ$30,"GOED","DUBBEL")))</f>
        <v>GOED</v>
      </c>
      <c r="AK29" s="141"/>
      <c r="AL29" s="141"/>
      <c r="AM29" s="141"/>
      <c r="AN29" s="141"/>
      <c r="AO29" s="141"/>
      <c r="AP29" s="91"/>
      <c r="AQ29" s="291" t="str">
        <f ca="1">VLOOKUP(AR29,Voorblad!$X$67:$Z$98,2,FALSE)</f>
        <v>Polen</v>
      </c>
      <c r="AR29" s="292" t="str">
        <f>AR28&amp;1</f>
        <v>D1</v>
      </c>
      <c r="AS29" s="684" t="str">
        <f ca="1">IF(AT29=$AR$11,$AQ$11,IF(AT29=$AR$12,$AQ$12,VLOOKUP(AT29,Voorblad!$X$67:$Z$98,2,FALSE)))</f>
        <v>Spanje</v>
      </c>
      <c r="AT29" s="685" t="str">
        <f t="shared" ref="AT29:AT49" ca="1" si="5">RIGHT(LEFT($AK$96,$BA29),2)</f>
        <v>B1</v>
      </c>
      <c r="AU29" s="684" t="str">
        <f ca="1">IF(AV29=$AR$11,$AQ$11,IF(AV29=$AR$12,$AQ$12,VLOOKUP(AV29,Voorblad!$X$67:$Z$98,2,FALSE)))</f>
        <v>Duitsland</v>
      </c>
      <c r="AV29" s="685" t="str">
        <f ca="1">RIGHT(LEFT($AL$96,$BA29),2)</f>
        <v>A1</v>
      </c>
      <c r="AW29" s="684" t="str">
        <f ca="1">IF(AX29=$AR$11,$AQ$11,IF(AX29=$AR$12,$AQ$12,VLOOKUP(AX29,Voorblad!$X$67:$Z$98,2,FALSE)))</f>
        <v>Italië</v>
      </c>
      <c r="AX29" s="685" t="str">
        <f ca="1">RIGHT(LEFT($AK$97,$BA29),2)</f>
        <v>B3</v>
      </c>
      <c r="AY29" s="684" t="str">
        <f ca="1">IF(AZ29=$AR$11,$AQ$11,IF(AZ29=$AR$12,$AQ$12,VLOOKUP(AZ29,Voorblad!$X$67:$Z$98,2,FALSE)))</f>
        <v>Nederland</v>
      </c>
      <c r="AZ29" s="685" t="str">
        <f ca="1">RIGHT(LEFT($AL$97,$BA29),2)</f>
        <v>D2</v>
      </c>
      <c r="BA29" s="687">
        <v>2</v>
      </c>
    </row>
    <row r="30" spans="1:53" ht="15" customHeight="1" x14ac:dyDescent="0.4">
      <c r="A30" s="590"/>
      <c r="B30" s="17"/>
      <c r="C30" s="949"/>
      <c r="D30" s="58"/>
      <c r="E30" s="412"/>
      <c r="F30" s="412"/>
      <c r="G30" s="412"/>
      <c r="H30" s="412"/>
      <c r="I30" s="412"/>
      <c r="J30" s="412"/>
      <c r="K30" s="412"/>
      <c r="L30" s="412"/>
      <c r="M30" s="412"/>
      <c r="N30" s="412"/>
      <c r="O30" s="412"/>
      <c r="P30" s="412"/>
      <c r="Q30" s="412"/>
      <c r="R30" s="412"/>
      <c r="S30" s="412"/>
      <c r="T30" s="412"/>
      <c r="U30" s="412"/>
      <c r="V30" s="412"/>
      <c r="W30" s="412"/>
      <c r="X30" s="412"/>
      <c r="Y30" s="412"/>
      <c r="Z30" s="958"/>
      <c r="AA30" s="17"/>
      <c r="AB30" s="850"/>
      <c r="AC30" s="415"/>
      <c r="AD30" s="415"/>
      <c r="AE30" s="415"/>
      <c r="AF30" s="415"/>
      <c r="AG30" s="5"/>
      <c r="AH30" s="415"/>
      <c r="AI30" s="5"/>
      <c r="AJ30" s="414">
        <f>16*3+1+LEN("CONTROLE")-2</f>
        <v>55</v>
      </c>
      <c r="AK30" s="141"/>
      <c r="AL30" s="141"/>
      <c r="AM30" s="141"/>
      <c r="AN30" s="141"/>
      <c r="AO30" s="141"/>
      <c r="AP30" s="91"/>
      <c r="AQ30" s="291" t="str">
        <f ca="1">VLOOKUP(AR30,Voorblad!$X$67:$Z$98,2,FALSE)</f>
        <v>Nederland</v>
      </c>
      <c r="AR30" s="292" t="str">
        <f>AR28&amp;2</f>
        <v>D2</v>
      </c>
      <c r="AS30" s="684" t="str">
        <f ca="1">IF(AT30=$AR$11,$AQ$11,IF(AT30=$AR$12,$AQ$12,VLOOKUP(AT30,Voorblad!$X$67:$Z$98,2,FALSE)))</f>
        <v>────────────────</v>
      </c>
      <c r="AT30" s="685" t="str">
        <f t="shared" ca="1" si="5"/>
        <v>&amp;&amp;</v>
      </c>
      <c r="AU30" s="684" t="str">
        <f ca="1">IF(AV30=$AR$11,$AQ$11,IF(AV30=$AR$12,$AQ$12,VLOOKUP(AV30,Voorblad!$X$67:$Z$98,2,FALSE)))</f>
        <v>────────────────</v>
      </c>
      <c r="AV30" s="685" t="str">
        <f t="shared" ref="AV30:AV49" ca="1" si="6">RIGHT(LEFT($AL$96,$BA30),2)</f>
        <v>&amp;&amp;</v>
      </c>
      <c r="AW30" s="684" t="str">
        <f ca="1">IF(AX30=$AR$11,$AQ$11,IF(AX30=$AR$12,$AQ$12,VLOOKUP(AX30,Voorblad!$X$67:$Z$98,2,FALSE)))</f>
        <v>Portugal</v>
      </c>
      <c r="AX30" s="685" t="str">
        <f t="shared" ref="AX30:AX49" ca="1" si="7">RIGHT(LEFT($AK$97,$BA30),2)</f>
        <v>F3</v>
      </c>
      <c r="AY30" s="684" t="str">
        <f ca="1">IF(AZ30=$AR$11,$AQ$11,IF(AZ30=$AR$12,$AQ$12,VLOOKUP(AZ30,Voorblad!$X$67:$Z$98,2,FALSE)))</f>
        <v>────────────────</v>
      </c>
      <c r="AZ30" s="685" t="str">
        <f t="shared" ref="AZ30:AZ49" ca="1" si="8">RIGHT(LEFT($AL$97,$BA30),2)</f>
        <v>&amp;&amp;</v>
      </c>
      <c r="BA30" s="688">
        <f t="shared" ref="BA30:BA40" si="9">BA29+2</f>
        <v>4</v>
      </c>
    </row>
    <row r="31" spans="1:53" ht="15" customHeight="1" x14ac:dyDescent="0.4">
      <c r="A31" s="576" t="str">
        <f>IF(A30="H","H","")</f>
        <v/>
      </c>
      <c r="B31" s="17"/>
      <c r="C31" s="949"/>
      <c r="D31" s="58" t="s">
        <v>433</v>
      </c>
      <c r="E31" s="1242" t="str">
        <f ca="1">Taal04!B71</f>
        <v>Via onderstaande link kunt u de criteria vinden voor het bepalen van de 4 beste nummers 3 in de groepsfase.</v>
      </c>
      <c r="F31" s="1242"/>
      <c r="G31" s="1242"/>
      <c r="H31" s="1242"/>
      <c r="I31" s="1242"/>
      <c r="J31" s="1242"/>
      <c r="K31" s="1242"/>
      <c r="L31" s="1242"/>
      <c r="M31" s="1242"/>
      <c r="N31" s="1242"/>
      <c r="O31" s="1242"/>
      <c r="P31" s="1242"/>
      <c r="Q31" s="1242"/>
      <c r="R31" s="1242"/>
      <c r="S31" s="1242"/>
      <c r="T31" s="1242"/>
      <c r="U31" s="1242"/>
      <c r="V31" s="1242"/>
      <c r="W31" s="1242"/>
      <c r="X31" s="1242"/>
      <c r="Y31" s="1242"/>
      <c r="Z31" s="958"/>
      <c r="AA31" s="17"/>
      <c r="AB31" s="850"/>
      <c r="AC31" s="663"/>
      <c r="AD31" s="415"/>
      <c r="AE31" s="415"/>
      <c r="AF31" s="415"/>
      <c r="AG31" s="5"/>
      <c r="AH31" s="415"/>
      <c r="AI31" s="5"/>
      <c r="AJ31" s="415"/>
      <c r="AK31" s="141"/>
      <c r="AL31" s="141"/>
      <c r="AM31" s="141"/>
      <c r="AN31" s="141"/>
      <c r="AO31" s="141"/>
      <c r="AP31" s="91"/>
      <c r="AQ31" s="291" t="str">
        <f ca="1">VLOOKUP(AR31,Voorblad!$X$67:$Z$98,2,FALSE)</f>
        <v>Oostenrijk</v>
      </c>
      <c r="AR31" s="292" t="str">
        <f>AR28&amp;3</f>
        <v>D3</v>
      </c>
      <c r="AS31" s="684" t="str">
        <f ca="1">IF(AT31=$AR$11,$AQ$11,IF(AT31=$AR$12,$AQ$12,VLOOKUP(AT31,Voorblad!$X$67:$Z$98,2,FALSE)))</f>
        <v>Albanië</v>
      </c>
      <c r="AT31" s="685" t="str">
        <f t="shared" ca="1" si="5"/>
        <v>B4</v>
      </c>
      <c r="AU31" s="684" t="str">
        <f ca="1">IF(AV31=$AR$11,$AQ$11,IF(AV31=$AR$12,$AQ$12,VLOOKUP(AV31,Voorblad!$X$67:$Z$98,2,FALSE)))</f>
        <v>Denemarken</v>
      </c>
      <c r="AV31" s="685" t="str">
        <f t="shared" ca="1" si="6"/>
        <v>C2</v>
      </c>
      <c r="AW31" s="684" t="str">
        <f ca="1">IF(AX31=$AR$11,$AQ$11,IF(AX31=$AR$12,$AQ$12,VLOOKUP(AX31,Voorblad!$X$67:$Z$98,2,FALSE)))</f>
        <v>────────────────</v>
      </c>
      <c r="AX31" s="685" t="str">
        <f t="shared" ca="1" si="7"/>
        <v>&amp;&amp;</v>
      </c>
      <c r="AY31" s="684" t="str">
        <f ca="1">IF(AZ31=$AR$11,$AQ$11,IF(AZ31=$AR$12,$AQ$12,VLOOKUP(AZ31,Voorblad!$X$67:$Z$98,2,FALSE)))</f>
        <v>België</v>
      </c>
      <c r="AZ31" s="685" t="str">
        <f t="shared" ca="1" si="8"/>
        <v>E1</v>
      </c>
      <c r="BA31" s="688">
        <f t="shared" si="9"/>
        <v>6</v>
      </c>
    </row>
    <row r="32" spans="1:53" ht="15" customHeight="1" x14ac:dyDescent="0.4">
      <c r="A32" s="576" t="str">
        <f t="shared" ref="A32:A33" si="10">IF(A31="H","H","")</f>
        <v/>
      </c>
      <c r="B32" s="17"/>
      <c r="C32" s="949"/>
      <c r="D32" s="412"/>
      <c r="E32" s="1242" t="str">
        <f ca="1">Taal04!B72</f>
        <v>Tevens vind u hier ook de verdeelsleutel voor het bepalen welk team in welke achtste finale speelt.</v>
      </c>
      <c r="F32" s="1242"/>
      <c r="G32" s="1242"/>
      <c r="H32" s="1242"/>
      <c r="I32" s="1242"/>
      <c r="J32" s="1242"/>
      <c r="K32" s="1242"/>
      <c r="L32" s="1242"/>
      <c r="M32" s="1242"/>
      <c r="N32" s="1242"/>
      <c r="O32" s="1242"/>
      <c r="P32" s="1242"/>
      <c r="Q32" s="1242"/>
      <c r="R32" s="1242"/>
      <c r="S32" s="1242"/>
      <c r="T32" s="1242"/>
      <c r="U32" s="1242"/>
      <c r="V32" s="1242"/>
      <c r="W32" s="1242"/>
      <c r="X32" s="1242"/>
      <c r="Y32" s="1242"/>
      <c r="Z32" s="958"/>
      <c r="AA32" s="17"/>
      <c r="AB32" s="850"/>
      <c r="AC32" s="663"/>
      <c r="AD32" s="415"/>
      <c r="AE32" s="415"/>
      <c r="AF32" s="415"/>
      <c r="AG32" s="5"/>
      <c r="AH32" s="415"/>
      <c r="AI32" s="5"/>
      <c r="AJ32" s="415"/>
      <c r="AK32" s="662"/>
      <c r="AL32" s="141"/>
      <c r="AM32" s="141"/>
      <c r="AN32" s="141"/>
      <c r="AO32" s="141"/>
      <c r="AP32" s="91"/>
      <c r="AQ32" s="293" t="str">
        <f ca="1">VLOOKUP(AR32,Voorblad!$X$67:$Z$98,2,FALSE)</f>
        <v>Frankrijk</v>
      </c>
      <c r="AR32" s="295" t="str">
        <f>AR28&amp;4</f>
        <v>D4</v>
      </c>
      <c r="AS32" s="684" t="str">
        <f ca="1">IF(AT32=$AR$11,$AQ$11,IF(AT32=$AR$12,$AQ$12,VLOOKUP(AT32,Voorblad!$X$67:$Z$98,2,FALSE)))</f>
        <v>België</v>
      </c>
      <c r="AT32" s="685" t="str">
        <f t="shared" ca="1" si="5"/>
        <v>E1</v>
      </c>
      <c r="AU32" s="684" t="str">
        <f ca="1">IF(AV32=$AR$11,$AQ$11,IF(AV32=$AR$12,$AQ$12,VLOOKUP(AV32,Voorblad!$X$67:$Z$98,2,FALSE)))</f>
        <v>Engeland</v>
      </c>
      <c r="AV32" s="685" t="str">
        <f t="shared" ca="1" si="6"/>
        <v>C4</v>
      </c>
      <c r="AW32" s="684" t="str">
        <f ca="1">IF(AX32=$AR$11,$AQ$11,IF(AX32=$AR$12,$AQ$12,VLOOKUP(AX32,Voorblad!$X$67:$Z$98,2,FALSE)))</f>
        <v>Albanië</v>
      </c>
      <c r="AX32" s="685" t="str">
        <f t="shared" ca="1" si="7"/>
        <v>B4</v>
      </c>
      <c r="AY32" s="684" t="str">
        <f ca="1">IF(AZ32=$AR$11,$AQ$11,IF(AZ32=$AR$12,$AQ$12,VLOOKUP(AZ32,Voorblad!$X$67:$Z$98,2,FALSE)))</f>
        <v>Frankrijk</v>
      </c>
      <c r="AZ32" s="685" t="str">
        <f t="shared" ca="1" si="8"/>
        <v>D4</v>
      </c>
      <c r="BA32" s="688">
        <f t="shared" si="9"/>
        <v>8</v>
      </c>
    </row>
    <row r="33" spans="1:56" ht="15" customHeight="1" x14ac:dyDescent="0.4">
      <c r="A33" s="576" t="str">
        <f t="shared" si="10"/>
        <v/>
      </c>
      <c r="B33" s="17"/>
      <c r="C33" s="949"/>
      <c r="D33" s="1243" t="str">
        <f ca="1">Taal04!B73</f>
        <v>www.excel-pool.nl/4beste3</v>
      </c>
      <c r="E33" s="1243"/>
      <c r="F33" s="1243"/>
      <c r="G33" s="1243"/>
      <c r="H33" s="1243"/>
      <c r="I33" s="1243"/>
      <c r="J33" s="1243"/>
      <c r="K33" s="1243"/>
      <c r="L33" s="1243"/>
      <c r="M33" s="1243"/>
      <c r="N33" s="1243"/>
      <c r="O33" s="1243"/>
      <c r="P33" s="1243"/>
      <c r="Q33" s="1243"/>
      <c r="R33" s="1243"/>
      <c r="S33" s="1243"/>
      <c r="T33" s="1243"/>
      <c r="U33" s="1243"/>
      <c r="V33" s="1243"/>
      <c r="W33" s="1243"/>
      <c r="X33" s="1243"/>
      <c r="Y33" s="1243"/>
      <c r="Z33" s="958"/>
      <c r="AA33" s="17"/>
      <c r="AB33" s="850"/>
      <c r="AC33" s="663"/>
      <c r="AD33" s="415"/>
      <c r="AE33" s="415"/>
      <c r="AF33" s="415"/>
      <c r="AG33" s="5"/>
      <c r="AH33" s="415"/>
      <c r="AI33" s="5"/>
      <c r="AJ33" s="415"/>
      <c r="AK33" s="141"/>
      <c r="AL33" s="141"/>
      <c r="AM33" s="141"/>
      <c r="AN33" s="141"/>
      <c r="AO33" s="141"/>
      <c r="AP33" s="91"/>
      <c r="AQ33" s="287"/>
      <c r="AR33" s="289" t="s">
        <v>166</v>
      </c>
      <c r="AS33" s="684" t="str">
        <f ca="1">IF(AT33=$AR$11,$AQ$11,IF(AT33=$AR$12,$AQ$12,VLOOKUP(AT33,Voorblad!$X$67:$Z$98,2,FALSE)))</f>
        <v>Duitsland</v>
      </c>
      <c r="AT33" s="685" t="str">
        <f t="shared" ca="1" si="5"/>
        <v>A1</v>
      </c>
      <c r="AU33" s="684" t="str">
        <f ca="1">IF(AV33=$AR$11,$AQ$11,IF(AV33=$AR$12,$AQ$12,VLOOKUP(AV33,Voorblad!$X$67:$Z$98,2,FALSE)))</f>
        <v>Hongarije</v>
      </c>
      <c r="AV33" s="685" t="str">
        <f t="shared" ca="1" si="6"/>
        <v>A3</v>
      </c>
      <c r="AW33" s="684" t="str">
        <f ca="1">IF(AX33=$AR$11,$AQ$11,IF(AX33=$AR$12,$AQ$12,VLOOKUP(AX33,Voorblad!$X$67:$Z$98,2,FALSE)))</f>
        <v>Denemarken</v>
      </c>
      <c r="AX33" s="685" t="str">
        <f t="shared" ca="1" si="7"/>
        <v>C2</v>
      </c>
      <c r="AY33" s="684" t="str">
        <f ca="1">IF(AZ33=$AR$11,$AQ$11,IF(AZ33=$AR$12,$AQ$12,VLOOKUP(AZ33,Voorblad!$X$67:$Z$98,2,FALSE)))</f>
        <v>Oekraïne</v>
      </c>
      <c r="AZ33" s="685" t="str">
        <f t="shared" ca="1" si="8"/>
        <v>E4</v>
      </c>
      <c r="BA33" s="688">
        <f t="shared" si="9"/>
        <v>10</v>
      </c>
    </row>
    <row r="34" spans="1:56" ht="24" customHeight="1" x14ac:dyDescent="0.4">
      <c r="A34" s="173"/>
      <c r="B34" s="17"/>
      <c r="C34" s="949"/>
      <c r="D34" s="829" t="str">
        <f ca="1">Taal04!$B$28</f>
        <v>Kwartfinale</v>
      </c>
      <c r="E34" s="17"/>
      <c r="F34" s="17"/>
      <c r="G34" s="17"/>
      <c r="H34" s="17"/>
      <c r="I34" s="715"/>
      <c r="J34" s="715"/>
      <c r="K34" s="715"/>
      <c r="L34" s="715"/>
      <c r="M34" s="715"/>
      <c r="N34" s="715"/>
      <c r="O34" s="715"/>
      <c r="P34" s="715"/>
      <c r="Q34" s="715"/>
      <c r="R34" s="715"/>
      <c r="S34" s="715"/>
      <c r="T34" s="715"/>
      <c r="U34" s="715"/>
      <c r="V34" s="715"/>
      <c r="W34" s="715"/>
      <c r="X34" s="715"/>
      <c r="Y34" s="715"/>
      <c r="Z34" s="60"/>
      <c r="AA34" s="17"/>
      <c r="AB34" s="850"/>
      <c r="AC34" s="413"/>
      <c r="AD34" s="296"/>
      <c r="AE34" s="296"/>
      <c r="AF34" s="296"/>
      <c r="AG34" s="5"/>
      <c r="AH34" s="5"/>
      <c r="AI34" s="5"/>
      <c r="AJ34" s="415"/>
      <c r="AK34" s="1195" t="s">
        <v>15</v>
      </c>
      <c r="AL34" s="1195"/>
      <c r="AM34" s="1195"/>
      <c r="AN34" s="1195"/>
      <c r="AO34" s="1195"/>
      <c r="AP34" s="91"/>
      <c r="AQ34" s="291" t="str">
        <f ca="1">VLOOKUP(AR34,Voorblad!$X$67:$Z$98,2,FALSE)</f>
        <v>België</v>
      </c>
      <c r="AR34" s="292" t="str">
        <f>AR33&amp;1</f>
        <v>E1</v>
      </c>
      <c r="AS34" s="684" t="str">
        <f ca="1">IF(AT34=$AR$11,$AQ$11,IF(AT34=$AR$12,$AQ$12,VLOOKUP(AT34,Voorblad!$X$67:$Z$98,2,FALSE)))</f>
        <v>Frankrijk</v>
      </c>
      <c r="AT34" s="685" t="str">
        <f t="shared" ca="1" si="5"/>
        <v>D4</v>
      </c>
      <c r="AU34" s="684" t="str">
        <f ca="1">IF(AV34=$AR$11,$AQ$11,IF(AV34=$AR$12,$AQ$12,VLOOKUP(AV34,Voorblad!$X$67:$Z$98,2,FALSE)))</f>
        <v>Schotland</v>
      </c>
      <c r="AV34" s="685" t="str">
        <f t="shared" ca="1" si="6"/>
        <v>A2</v>
      </c>
      <c r="AW34" s="684" t="str">
        <f ca="1">IF(AX34=$AR$11,$AQ$11,IF(AX34=$AR$12,$AQ$12,VLOOKUP(AX34,Voorblad!$X$67:$Z$98,2,FALSE)))</f>
        <v>Duitsland</v>
      </c>
      <c r="AX34" s="685" t="str">
        <f t="shared" ca="1" si="7"/>
        <v>A1</v>
      </c>
      <c r="AY34" s="684" t="str">
        <f ca="1">IF(AZ34=$AR$11,$AQ$11,IF(AZ34=$AR$12,$AQ$12,VLOOKUP(AZ34,Voorblad!$X$67:$Z$98,2,FALSE)))</f>
        <v>Oostenrijk</v>
      </c>
      <c r="AZ34" s="685" t="str">
        <f t="shared" ca="1" si="8"/>
        <v>D3</v>
      </c>
      <c r="BA34" s="688">
        <f t="shared" si="9"/>
        <v>12</v>
      </c>
    </row>
    <row r="35" spans="1:56" ht="15" customHeight="1" x14ac:dyDescent="0.25">
      <c r="A35" s="173"/>
      <c r="B35" s="17"/>
      <c r="C35" s="949"/>
      <c r="D35" s="17"/>
      <c r="E35" s="939" t="str">
        <f ca="1">Taal04!$B$20</f>
        <v>Datum</v>
      </c>
      <c r="F35" s="939" t="str">
        <f ca="1">Taal04!$B$21</f>
        <v>Tijd</v>
      </c>
      <c r="G35" s="1212" t="str">
        <f ca="1">Taal04!$B$22</f>
        <v>Wedstrijd</v>
      </c>
      <c r="H35" s="1212"/>
      <c r="I35" s="1212"/>
      <c r="J35" s="1212"/>
      <c r="K35" s="1212"/>
      <c r="L35" s="1212"/>
      <c r="M35" s="1212"/>
      <c r="N35" s="1212"/>
      <c r="O35" s="1212"/>
      <c r="P35" s="1212"/>
      <c r="Q35" s="1212"/>
      <c r="R35" s="1212"/>
      <c r="S35" s="1212"/>
      <c r="T35" s="1212"/>
      <c r="U35" s="1212"/>
      <c r="V35" s="17"/>
      <c r="W35" s="1142" t="str">
        <f ca="1">Taal04!$B$24</f>
        <v>Eindstand</v>
      </c>
      <c r="X35" s="1143"/>
      <c r="Y35" s="1143"/>
      <c r="Z35" s="60"/>
      <c r="AA35" s="17"/>
      <c r="AB35" s="850"/>
      <c r="AC35" s="235" t="s">
        <v>18</v>
      </c>
      <c r="AD35" s="235" t="s">
        <v>19</v>
      </c>
      <c r="AE35" s="235" t="s">
        <v>18</v>
      </c>
      <c r="AF35" s="235" t="s">
        <v>19</v>
      </c>
      <c r="AG35" s="5"/>
      <c r="AH35" s="10" t="s">
        <v>75</v>
      </c>
      <c r="AI35" s="5"/>
      <c r="AJ35" s="10" t="s">
        <v>75</v>
      </c>
      <c r="AK35" s="4" t="s">
        <v>26</v>
      </c>
      <c r="AL35" s="4" t="s">
        <v>27</v>
      </c>
      <c r="AM35" s="4" t="s">
        <v>24</v>
      </c>
      <c r="AN35" s="4" t="s">
        <v>25</v>
      </c>
      <c r="AO35" s="138" t="s">
        <v>0</v>
      </c>
      <c r="AP35" s="91"/>
      <c r="AQ35" s="291" t="str">
        <f ca="1">VLOOKUP(AR35,Voorblad!$X$67:$Z$98,2,FALSE)</f>
        <v>Slowakije</v>
      </c>
      <c r="AR35" s="292" t="str">
        <f>AR33&amp;2</f>
        <v>E2</v>
      </c>
      <c r="AS35" s="684" t="str">
        <f ca="1">IF(AT35=$AR$11,$AQ$11,IF(AT35=$AR$12,$AQ$12,VLOOKUP(AT35,Voorblad!$X$67:$Z$98,2,FALSE)))</f>
        <v>Georgië</v>
      </c>
      <c r="AT35" s="685" t="str">
        <f t="shared" ca="1" si="5"/>
        <v>F2</v>
      </c>
      <c r="AU35" s="684" t="str">
        <f ca="1">IF(AV35=$AR$11,$AQ$11,IF(AV35=$AR$12,$AQ$12,VLOOKUP(AV35,Voorblad!$X$67:$Z$98,2,FALSE)))</f>
        <v>Servië</v>
      </c>
      <c r="AV35" s="685" t="str">
        <f t="shared" ca="1" si="6"/>
        <v>C3</v>
      </c>
      <c r="AW35" s="684" t="str">
        <f ca="1">IF(AX35=$AR$11,$AQ$11,IF(AX35=$AR$12,$AQ$12,VLOOKUP(AX35,Voorblad!$X$67:$Z$98,2,FALSE)))</f>
        <v>Engeland</v>
      </c>
      <c r="AX35" s="685" t="str">
        <f t="shared" ca="1" si="7"/>
        <v>C4</v>
      </c>
      <c r="AY35" s="684" t="str">
        <f ca="1">IF(AZ35=$AR$11,$AQ$11,IF(AZ35=$AR$12,$AQ$12,VLOOKUP(AZ35,Voorblad!$X$67:$Z$98,2,FALSE)))</f>
        <v>Polen</v>
      </c>
      <c r="AZ35" s="685" t="str">
        <f t="shared" ca="1" si="8"/>
        <v>D1</v>
      </c>
      <c r="BA35" s="688">
        <f t="shared" si="9"/>
        <v>14</v>
      </c>
    </row>
    <row r="36" spans="1:56" ht="15" customHeight="1" x14ac:dyDescent="0.25">
      <c r="A36" s="173"/>
      <c r="B36" s="17"/>
      <c r="C36" s="949"/>
      <c r="D36" s="6">
        <f>D28+1</f>
        <v>45</v>
      </c>
      <c r="E36" s="11">
        <f>E26+3</f>
        <v>45478.75</v>
      </c>
      <c r="F36" s="134">
        <f>E36+TIME(0,0,0)</f>
        <v>45478.75</v>
      </c>
      <c r="G36" s="1192" t="str">
        <f ca="1">" "&amp;Taal04!$B$77&amp;" "&amp;D20</f>
        <v xml:space="preserve"> Win. Wedstrijd 39</v>
      </c>
      <c r="H36" s="1192"/>
      <c r="I36" s="1192"/>
      <c r="J36" s="1192"/>
      <c r="K36" s="1192"/>
      <c r="L36" s="667" t="s">
        <v>856</v>
      </c>
      <c r="M36" s="665"/>
      <c r="N36" s="666" t="str">
        <f ca="1">IF(AK36="LEEG","▼   ","")&amp;"-  "</f>
        <v xml:space="preserve">-  </v>
      </c>
      <c r="O36" s="1192" t="str">
        <f ca="1">" "&amp;Taal04!$B$77&amp;" "&amp;D16</f>
        <v xml:space="preserve"> Win. Wedstrijd 37</v>
      </c>
      <c r="P36" s="1192"/>
      <c r="Q36" s="1192"/>
      <c r="R36" s="1192"/>
      <c r="S36" s="1192"/>
      <c r="T36" s="1192"/>
      <c r="U36" s="667" t="s">
        <v>1</v>
      </c>
      <c r="V36" s="666" t="str">
        <f ca="1">IF(AL36="LEEG","▼   ","")&amp;": "</f>
        <v xml:space="preserve">: </v>
      </c>
      <c r="W36" s="738">
        <v>1</v>
      </c>
      <c r="X36" s="940" t="s">
        <v>12</v>
      </c>
      <c r="Y36" s="738">
        <v>1</v>
      </c>
      <c r="Z36" s="963"/>
      <c r="AA36" s="411"/>
      <c r="AB36" s="851">
        <f>IF(AND(AM36="GOED",AN36="GOED"),W36+Y36,0)</f>
        <v>2</v>
      </c>
      <c r="AC36" s="271" t="str">
        <f ca="1">IF(OR(L36="",ISBLANK(L36),L36=$AQ$11),"OO",IF(TYPE(VLOOKUP(L36,Taal02!$C$100:$D$419,2,FALSE))=16,"XX",VLOOKUP(L36,Taal02!$C$100:$D$419,2,FALSE)))</f>
        <v>B1</v>
      </c>
      <c r="AD36" s="235" t="str">
        <f ca="1">IF(AC36="OO","LEEG",IF(AC36="XX","FOUT",VLOOKUP(AC36,Voorblad!$X$65:$Z$98,3,FALSE)))</f>
        <v>ES</v>
      </c>
      <c r="AE36" s="271" t="str">
        <f ca="1">IF(OR(U36="",ISBLANK(U36),U36=$AQ$11),"OO",IF(TYPE(VLOOKUP(U36,Taal02!$C$100:$D$419,2,FALSE))=16,"XX",VLOOKUP(U36,Taal02!$C$100:$D$419,2,FALSE)))</f>
        <v>A1</v>
      </c>
      <c r="AF36" s="235" t="str">
        <f ca="1">IF(AE36="OO","LEEG",IF(AE36="XX","FOUT",VLOOKUP(AE36,Voorblad!$X$65:$Z$98,3,FALSE)))</f>
        <v>DE</v>
      </c>
      <c r="AG36" s="5"/>
      <c r="AH36" s="363" t="s">
        <v>2308</v>
      </c>
      <c r="AI36" s="10" t="s">
        <v>12</v>
      </c>
      <c r="AJ36" s="363" t="s">
        <v>2309</v>
      </c>
      <c r="AK36" s="4" t="str">
        <f ca="1">IF(AD36="LEEG","LEEG",IF(TYPE(AD36)=2,IF(LEN(AD36)=2,IF(AND($AI$11=0,AH37="DUBBEL"),"ONGELDIG","GOED"),"ONGELDIG"),"ONGELDIG"))</f>
        <v>GOED</v>
      </c>
      <c r="AL36" s="4" t="str">
        <f ca="1">IF(AF36="LEEG","LEEG",IF(TYPE(AF36)=2,IF(LEN(AF36)=2,IF(AND($AI$11=0,AJ37="DUBBEL"),"ONGELDIG","GOED"),"ONGELDIG"),"ONGELDIG"))</f>
        <v>GOED</v>
      </c>
      <c r="AM36" s="4" t="str">
        <f>IF(ISBLANK(W36),"LEEG",IF(TYPE(W36)=1,IF(AND(W36&lt;10,W36&gt;=0),IF(W36=ROUND(W36,0),"GOED","ONGELDIG"),"ONGELDIG"),"ONGELDIG"))</f>
        <v>GOED</v>
      </c>
      <c r="AN36" s="4" t="str">
        <f>IF(ISBLANK(Y36),"LEEG",IF(TYPE(Y36)=1,IF(AND(Y36&lt;10,Y36&gt;=0),IF(Y36=ROUND(Y36,0),"GOED","ONGELDIG"),"ONGELDIG"),"ONGELDIG"))</f>
        <v>GOED</v>
      </c>
      <c r="AO36" s="138" t="str">
        <f ca="1">IF(AK36="GOED",IF(AL36="GOED",IF(AM36="GOED",IF(AN36="GOED",AD36&amp;AF36&amp;W36&amp;Y36&amp;"|","FOUT"),"FOUT"),"FOUT"),"FOUT")</f>
        <v>ESDE11|</v>
      </c>
      <c r="AP36" s="91">
        <f ca="1">LEN(AO36)</f>
        <v>7</v>
      </c>
      <c r="AQ36" s="291" t="str">
        <f ca="1">VLOOKUP(AR36,Voorblad!$X$67:$Z$98,2,FALSE)</f>
        <v>Roemenië</v>
      </c>
      <c r="AR36" s="292" t="str">
        <f>AR33&amp;3</f>
        <v>E3</v>
      </c>
      <c r="AS36" s="684" t="str">
        <f ca="1">IF(AT36=$AR$11,$AQ$11,IF(AT36=$AR$12,$AQ$12,VLOOKUP(AT36,Voorblad!$X$67:$Z$98,2,FALSE)))</f>
        <v>Hongarije</v>
      </c>
      <c r="AT36" s="685" t="str">
        <f t="shared" ca="1" si="5"/>
        <v>A3</v>
      </c>
      <c r="AU36" s="684" t="str">
        <f ca="1">IF(AV36=$AR$11,$AQ$11,IF(AV36=$AR$12,$AQ$12,VLOOKUP(AV36,Voorblad!$X$67:$Z$98,2,FALSE)))</f>
        <v>Slovenië</v>
      </c>
      <c r="AV36" s="685" t="str">
        <f t="shared" ca="1" si="6"/>
        <v>C1</v>
      </c>
      <c r="AW36" s="684" t="str">
        <f ca="1">IF(AX36=$AR$11,$AQ$11,IF(AX36=$AR$12,$AQ$12,VLOOKUP(AX36,Voorblad!$X$67:$Z$98,2,FALSE)))</f>
        <v>Georgië</v>
      </c>
      <c r="AX36" s="685" t="str">
        <f t="shared" ca="1" si="7"/>
        <v>F2</v>
      </c>
      <c r="AY36" s="684" t="str">
        <f ca="1">IF(AZ36=$AR$11,$AQ$11,IF(AZ36=$AR$12,$AQ$12,VLOOKUP(AZ36,Voorblad!$X$67:$Z$98,2,FALSE)))</f>
        <v>Roemenië</v>
      </c>
      <c r="AZ36" s="685" t="str">
        <f t="shared" ca="1" si="8"/>
        <v>E3</v>
      </c>
      <c r="BA36" s="688">
        <f t="shared" si="9"/>
        <v>16</v>
      </c>
    </row>
    <row r="37" spans="1:56" ht="18.95" customHeight="1" x14ac:dyDescent="0.25">
      <c r="A37" s="173"/>
      <c r="B37" s="17"/>
      <c r="C37" s="949"/>
      <c r="D37" s="17"/>
      <c r="E37" s="17"/>
      <c r="F37" s="17"/>
      <c r="G37" s="1211" t="str">
        <f ca="1">IF($AB$9=1," "&amp;AC37,IF($AB$9=2,IF(AC36="OO"," "&amp;AC37,""),""))</f>
        <v xml:space="preserve"> Spanje</v>
      </c>
      <c r="H37" s="1211"/>
      <c r="I37" s="1211"/>
      <c r="J37" s="1211"/>
      <c r="K37" s="1211"/>
      <c r="L37" s="1211"/>
      <c r="M37" s="16"/>
      <c r="N37" s="16"/>
      <c r="O37" s="1211" t="str">
        <f ca="1">IF($AB$9=1," "&amp;AE37,IF($AB$9=2,IF(AE36="OO"," "&amp;AE37,""),""))</f>
        <v xml:space="preserve"> Duitsland</v>
      </c>
      <c r="P37" s="1211"/>
      <c r="Q37" s="1211"/>
      <c r="R37" s="1211"/>
      <c r="S37" s="1211"/>
      <c r="T37" s="1211"/>
      <c r="U37" s="1211"/>
      <c r="V37" s="17"/>
      <c r="W37" s="17"/>
      <c r="X37" s="262"/>
      <c r="Y37" s="17"/>
      <c r="Z37" s="60"/>
      <c r="AA37" s="17"/>
      <c r="AB37" s="850"/>
      <c r="AC37" s="1193" t="str">
        <f ca="1">AM96</f>
        <v>Spanje</v>
      </c>
      <c r="AD37" s="1193"/>
      <c r="AE37" s="1193" t="str">
        <f ca="1">AO96</f>
        <v>Duitsland</v>
      </c>
      <c r="AF37" s="1193"/>
      <c r="AG37" s="716" t="str">
        <f ca="1">IF(AO36="FOUT","",IF(W36&gt;Y36,AC36,IF(W36&lt;Y36,AE36,AC36&amp;AE36)))</f>
        <v>B1A1</v>
      </c>
      <c r="AH37" s="415" t="str">
        <f ca="1">IF(AD36="LEEG","LEEG",IF(AD36= "FOUT","ONGELDIG",IF(LEN(SUBSTITUTE(SUBSTITUTE("|"&amp;$AD$36&amp;"|"&amp;$AF$36&amp;"|"&amp;$AD$38&amp;"|"&amp;$AF$38&amp;"|"&amp;$AD$40&amp;"|"&amp;$AF$40&amp;"|"&amp;$AD$42&amp;"|"&amp;$AF$42&amp;"|","LEEG","##"),AD36,"CONTROLE"))=$AJ$44,"GOED","DUBBEL")))</f>
        <v>GOED</v>
      </c>
      <c r="AI37" s="5"/>
      <c r="AJ37" s="415" t="str">
        <f ca="1">IF(AF36="LEEG","LEEG",IF(AF36= "FOUT","ONGELDIG",IF(LEN(SUBSTITUTE(SUBSTITUTE("|"&amp;$AD$36&amp;"|"&amp;$AF$36&amp;"|"&amp;$AD$38&amp;"|"&amp;$AF$38&amp;"|"&amp;$AD$40&amp;"|"&amp;$AF$40&amp;"|"&amp;$AD$42&amp;"|"&amp;$AF$42&amp;"|","LEEG","##"),AF36,"CONTROLE"))=$AJ$44,"GOED","DUBBEL")))</f>
        <v>GOED</v>
      </c>
      <c r="AK37" s="4"/>
      <c r="AL37" s="4"/>
      <c r="AM37" s="4"/>
      <c r="AN37" s="4"/>
      <c r="AO37" s="138"/>
      <c r="AP37" s="91"/>
      <c r="AQ37" s="293" t="str">
        <f ca="1">VLOOKUP(AR37,Voorblad!$X$67:$Z$98,2,FALSE)</f>
        <v>Oekraïne</v>
      </c>
      <c r="AR37" s="295" t="str">
        <f>AR33&amp;4</f>
        <v>E4</v>
      </c>
      <c r="AS37" s="684" t="str">
        <f ca="1">IF(AT37=$AR$11,$AQ$11,IF(AT37=$AR$12,$AQ$12,VLOOKUP(AT37,Voorblad!$X$67:$Z$98,2,FALSE)))</f>
        <v>Italië</v>
      </c>
      <c r="AT37" s="685" t="str">
        <f t="shared" ca="1" si="5"/>
        <v>B3</v>
      </c>
      <c r="AU37" s="684" t="str">
        <f ca="1">IF(AV37=$AR$11,$AQ$11,IF(AV37=$AR$12,$AQ$12,VLOOKUP(AV37,Voorblad!$X$67:$Z$98,2,FALSE)))</f>
        <v>Zwitserland</v>
      </c>
      <c r="AV37" s="685" t="str">
        <f t="shared" ca="1" si="6"/>
        <v>A4</v>
      </c>
      <c r="AW37" s="684" t="str">
        <f ca="1">IF(AX37=$AR$11,$AQ$11,IF(AX37=$AR$12,$AQ$12,VLOOKUP(AX37,Voorblad!$X$67:$Z$98,2,FALSE)))</f>
        <v>Hongarije</v>
      </c>
      <c r="AX37" s="685" t="str">
        <f t="shared" ca="1" si="7"/>
        <v>A3</v>
      </c>
      <c r="AY37" s="684" t="str">
        <f ca="1">IF(AZ37=$AR$11,$AQ$11,IF(AZ37=$AR$12,$AQ$12,VLOOKUP(AZ37,Voorblad!$X$67:$Z$98,2,FALSE)))</f>
        <v>Slowakije</v>
      </c>
      <c r="AZ37" s="685" t="str">
        <f t="shared" ca="1" si="8"/>
        <v>E2</v>
      </c>
      <c r="BA37" s="688">
        <f t="shared" si="9"/>
        <v>18</v>
      </c>
      <c r="BD37" s="576"/>
    </row>
    <row r="38" spans="1:56" ht="15" customHeight="1" x14ac:dyDescent="0.25">
      <c r="A38" s="173"/>
      <c r="B38" s="17"/>
      <c r="C38" s="949"/>
      <c r="D38" s="6">
        <f>D36+1</f>
        <v>46</v>
      </c>
      <c r="E38" s="11">
        <f>E28+3</f>
        <v>45478.875</v>
      </c>
      <c r="F38" s="134">
        <f>E38+TIME(0,0,0)</f>
        <v>45478.875</v>
      </c>
      <c r="G38" s="1192" t="str">
        <f ca="1">" "&amp;Taal04!$B$77&amp;" "&amp;D24</f>
        <v xml:space="preserve"> Win. Wedstrijd 41</v>
      </c>
      <c r="H38" s="1192"/>
      <c r="I38" s="1192"/>
      <c r="J38" s="1192"/>
      <c r="K38" s="1192"/>
      <c r="L38" s="667" t="s">
        <v>466</v>
      </c>
      <c r="M38" s="665"/>
      <c r="N38" s="666" t="str">
        <f ca="1">IF(AK38="LEEG","▼   ","")&amp;"-  "</f>
        <v xml:space="preserve">-  </v>
      </c>
      <c r="O38" s="1192" t="str">
        <f ca="1">" "&amp;Taal04!$B$77&amp;" "&amp;D22</f>
        <v xml:space="preserve"> Win. Wedstrijd 42</v>
      </c>
      <c r="P38" s="1192"/>
      <c r="Q38" s="1192"/>
      <c r="R38" s="1192"/>
      <c r="S38" s="1192"/>
      <c r="T38" s="1192"/>
      <c r="U38" s="667" t="s">
        <v>853</v>
      </c>
      <c r="V38" s="666" t="str">
        <f ca="1">IF(AL38="LEEG","▼   ","")&amp;": "</f>
        <v xml:space="preserve">: </v>
      </c>
      <c r="W38" s="738">
        <v>2</v>
      </c>
      <c r="X38" s="940" t="s">
        <v>12</v>
      </c>
      <c r="Y38" s="738">
        <v>2</v>
      </c>
      <c r="Z38" s="963"/>
      <c r="AA38" s="411"/>
      <c r="AB38" s="851">
        <f>IF(AND(AM38="GOED",AN38="GOED"),W38+Y38,0)</f>
        <v>4</v>
      </c>
      <c r="AC38" s="271" t="str">
        <f ca="1">IF(OR(L38="",ISBLANK(L38),L38=$AQ$11),"OO",IF(TYPE(VLOOKUP(L38,Taal02!$C$100:$D$419,2,FALSE))=16,"XX",VLOOKUP(L38,Taal02!$C$100:$D$419,2,FALSE)))</f>
        <v>F3</v>
      </c>
      <c r="AD38" s="235" t="str">
        <f ca="1">IF(AC38="OO","LEEG",IF(AC38="XX","FOUT",VLOOKUP(AC38,Voorblad!$X$65:$Z$98,3,FALSE)))</f>
        <v>PT</v>
      </c>
      <c r="AE38" s="271" t="str">
        <f ca="1">IF(OR(U38="",ISBLANK(U38),U38=$AQ$11),"OO",IF(TYPE(VLOOKUP(U38,Taal02!$C$100:$D$419,2,FALSE))=16,"XX",VLOOKUP(U38,Taal02!$C$100:$D$419,2,FALSE)))</f>
        <v>D2</v>
      </c>
      <c r="AF38" s="235" t="str">
        <f ca="1">IF(AE38="OO","LEEG",IF(AE38="XX","FOUT",VLOOKUP(AE38,Voorblad!$X$65:$Z$98,3,FALSE)))</f>
        <v>NL</v>
      </c>
      <c r="AG38" s="5"/>
      <c r="AH38" s="363" t="s">
        <v>2312</v>
      </c>
      <c r="AI38" s="10" t="s">
        <v>12</v>
      </c>
      <c r="AJ38" s="363" t="s">
        <v>6</v>
      </c>
      <c r="AK38" s="4" t="str">
        <f ca="1">IF(AD38="LEEG","LEEG",IF(TYPE(AD38)=2,IF(LEN(AD38)=2,IF(AND($AI$11=0,AH39="DUBBEL"),"ONGELDIG","GOED"),"ONGELDIG"),"ONGELDIG"))</f>
        <v>GOED</v>
      </c>
      <c r="AL38" s="4" t="str">
        <f ca="1">IF(AF38="LEEG","LEEG",IF(TYPE(AF38)=2,IF(LEN(AF38)=2,IF(AND($AI$11=0,AJ39="DUBBEL"),"ONGELDIG","GOED"),"ONGELDIG"),"ONGELDIG"))</f>
        <v>GOED</v>
      </c>
      <c r="AM38" s="4" t="str">
        <f>IF(ISBLANK(W38),"LEEG",IF(TYPE(W38)=1,IF(AND(W38&lt;10,W38&gt;=0),IF(W38=ROUND(W38,0),"GOED","ONGELDIG"),"ONGELDIG"),"ONGELDIG"))</f>
        <v>GOED</v>
      </c>
      <c r="AN38" s="4" t="str">
        <f>IF(ISBLANK(Y38),"LEEG",IF(TYPE(Y38)=1,IF(AND(Y38&lt;10,Y38&gt;=0),IF(Y38=ROUND(Y38,0),"GOED","ONGELDIG"),"ONGELDIG"),"ONGELDIG"))</f>
        <v>GOED</v>
      </c>
      <c r="AO38" s="138" t="str">
        <f ca="1">IF(AK38="GOED",IF(AL38="GOED",IF(AM38="GOED",IF(AN38="GOED",AD38&amp;AF38&amp;W38&amp;Y38&amp;"|","FOUT"),"FOUT"),"FOUT"),"FOUT")</f>
        <v>PTNL22|</v>
      </c>
      <c r="AP38" s="91">
        <f ca="1">LEN(AO38)</f>
        <v>7</v>
      </c>
      <c r="AQ38" s="287"/>
      <c r="AR38" s="289" t="s">
        <v>168</v>
      </c>
      <c r="AS38" s="684" t="str">
        <f ca="1">IF(AT38=$AR$11,$AQ$11,IF(AT38=$AR$12,$AQ$12,VLOOKUP(AT38,Voorblad!$X$67:$Z$98,2,FALSE)))</f>
        <v>Kroatië</v>
      </c>
      <c r="AT38" s="685" t="str">
        <f t="shared" ca="1" si="5"/>
        <v>B2</v>
      </c>
      <c r="AU38" s="684" t="str">
        <f ca="1">IF(AV38=$AR$11,$AQ$11,IF(AV38=$AR$12,$AQ$12,VLOOKUP(AV38,Voorblad!$X$67:$Z$98,2,FALSE)))</f>
        <v/>
      </c>
      <c r="AV38" s="685" t="str">
        <f t="shared" ca="1" si="6"/>
        <v>??</v>
      </c>
      <c r="AW38" s="684" t="str">
        <f ca="1">IF(AX38=$AR$11,$AQ$11,IF(AX38=$AR$12,$AQ$12,VLOOKUP(AX38,Voorblad!$X$67:$Z$98,2,FALSE)))</f>
        <v>Kroatië</v>
      </c>
      <c r="AX38" s="685" t="str">
        <f t="shared" ca="1" si="7"/>
        <v>B2</v>
      </c>
      <c r="AY38" s="684" t="str">
        <f ca="1">IF(AZ38=$AR$11,$AQ$11,IF(AZ38=$AR$12,$AQ$12,VLOOKUP(AZ38,Voorblad!$X$67:$Z$98,2,FALSE)))</f>
        <v/>
      </c>
      <c r="AZ38" s="685" t="str">
        <f t="shared" ca="1" si="8"/>
        <v>??</v>
      </c>
      <c r="BA38" s="688">
        <f t="shared" si="9"/>
        <v>20</v>
      </c>
    </row>
    <row r="39" spans="1:56" ht="18.95" customHeight="1" x14ac:dyDescent="0.25">
      <c r="A39" s="173"/>
      <c r="B39" s="17"/>
      <c r="C39" s="949"/>
      <c r="D39" s="17"/>
      <c r="E39" s="17"/>
      <c r="F39" s="17"/>
      <c r="G39" s="1211" t="str">
        <f ca="1">IF($AB$9=1," "&amp;AC39,IF($AB$9=2,IF(AC38="OO"," "&amp;AC39,""),""))</f>
        <v xml:space="preserve"> Italië / Portugal</v>
      </c>
      <c r="H39" s="1211"/>
      <c r="I39" s="1211"/>
      <c r="J39" s="1211"/>
      <c r="K39" s="1211"/>
      <c r="L39" s="1211"/>
      <c r="M39" s="16"/>
      <c r="N39" s="16"/>
      <c r="O39" s="1211" t="str">
        <f ca="1">IF($AB$9=1," "&amp;AE39,IF($AB$9=2,IF(AE38="OO"," "&amp;AE39,""),""))</f>
        <v xml:space="preserve"> Nederland</v>
      </c>
      <c r="P39" s="1211"/>
      <c r="Q39" s="1211"/>
      <c r="R39" s="1211"/>
      <c r="S39" s="1211"/>
      <c r="T39" s="1211"/>
      <c r="U39" s="1211"/>
      <c r="V39" s="17"/>
      <c r="W39" s="17"/>
      <c r="X39" s="262"/>
      <c r="Y39" s="17"/>
      <c r="Z39" s="60"/>
      <c r="AA39" s="17"/>
      <c r="AB39" s="850"/>
      <c r="AC39" s="1193" t="str">
        <f ca="1">AM97</f>
        <v>Italië / Portugal</v>
      </c>
      <c r="AD39" s="1193"/>
      <c r="AE39" s="1193" t="str">
        <f ca="1">AO97</f>
        <v>Nederland</v>
      </c>
      <c r="AF39" s="1193"/>
      <c r="AG39" s="716" t="str">
        <f ca="1">IF(AO38="FOUT","",IF(W38&gt;Y38,AC38,IF(W38&lt;Y38,AE38,AC38&amp;AE38)))</f>
        <v>F3D2</v>
      </c>
      <c r="AH39" s="415" t="str">
        <f ca="1">IF(AD38="LEEG","LEEG",IF(AD38= "FOUT","ONGELDIG",IF(LEN(SUBSTITUTE(SUBSTITUTE("|"&amp;$AD$36&amp;"|"&amp;$AF$36&amp;"|"&amp;$AD$38&amp;"|"&amp;$AF$38&amp;"|"&amp;$AD$40&amp;"|"&amp;$AF$40&amp;"|"&amp;$AD$42&amp;"|"&amp;$AF$42&amp;"|","LEEG","##"),AD38,"CONTROLE"))=$AJ$44,"GOED","DUBBEL")))</f>
        <v>GOED</v>
      </c>
      <c r="AI39" s="5"/>
      <c r="AJ39" s="415" t="str">
        <f ca="1">IF(AF38="LEEG","LEEG",IF(AF38= "FOUT","ONGELDIG",IF(LEN(SUBSTITUTE(SUBSTITUTE("|"&amp;$AD$36&amp;"|"&amp;$AF$36&amp;"|"&amp;$AD$38&amp;"|"&amp;$AF$38&amp;"|"&amp;$AD$40&amp;"|"&amp;$AF$40&amp;"|"&amp;$AD$42&amp;"|"&amp;$AF$42&amp;"|","LEEG","##"),AF38,"CONTROLE"))=$AJ$44,"GOED","DUBBEL")))</f>
        <v>GOED</v>
      </c>
      <c r="AK39" s="4"/>
      <c r="AL39" s="4"/>
      <c r="AM39" s="4"/>
      <c r="AN39" s="4"/>
      <c r="AO39" s="138"/>
      <c r="AP39" s="91"/>
      <c r="AQ39" s="291" t="str">
        <f ca="1">VLOOKUP(AR39,Voorblad!$X$67:$Z$98,2,FALSE)</f>
        <v>Turkije</v>
      </c>
      <c r="AR39" s="292" t="str">
        <f>AR38&amp;1</f>
        <v>F1</v>
      </c>
      <c r="AS39" s="684" t="str">
        <f ca="1">IF(AT39=$AR$11,$AQ$11,IF(AT39=$AR$12,$AQ$12,VLOOKUP(AT39,Voorblad!$X$67:$Z$98,2,FALSE)))</f>
        <v>Nederland</v>
      </c>
      <c r="AT39" s="685" t="str">
        <f t="shared" ca="1" si="5"/>
        <v>D2</v>
      </c>
      <c r="AU39" s="684" t="str">
        <f ca="1">IF(AV39=$AR$11,$AQ$11,IF(AV39=$AR$12,$AQ$12,VLOOKUP(AV39,Voorblad!$X$67:$Z$98,2,FALSE)))</f>
        <v/>
      </c>
      <c r="AV39" s="685" t="str">
        <f t="shared" ca="1" si="6"/>
        <v>??</v>
      </c>
      <c r="AW39" s="684" t="str">
        <f ca="1">IF(AX39=$AR$11,$AQ$11,IF(AX39=$AR$12,$AQ$12,VLOOKUP(AX39,Voorblad!$X$67:$Z$98,2,FALSE)))</f>
        <v>Schotland</v>
      </c>
      <c r="AX39" s="685" t="str">
        <f t="shared" ca="1" si="7"/>
        <v>A2</v>
      </c>
      <c r="AY39" s="684" t="str">
        <f ca="1">IF(AZ39=$AR$11,$AQ$11,IF(AZ39=$AR$12,$AQ$12,VLOOKUP(AZ39,Voorblad!$X$67:$Z$98,2,FALSE)))</f>
        <v/>
      </c>
      <c r="AZ39" s="685" t="str">
        <f t="shared" ca="1" si="8"/>
        <v>??</v>
      </c>
      <c r="BA39" s="688">
        <f t="shared" si="9"/>
        <v>22</v>
      </c>
    </row>
    <row r="40" spans="1:56" ht="15" customHeight="1" x14ac:dyDescent="0.25">
      <c r="A40" s="173"/>
      <c r="B40" s="17"/>
      <c r="C40" s="949"/>
      <c r="D40" s="6">
        <f>D38+2</f>
        <v>48</v>
      </c>
      <c r="E40" s="11">
        <f>E36+1</f>
        <v>45479.75</v>
      </c>
      <c r="F40" s="134">
        <f>E40+TIME(0,0,0)</f>
        <v>45479.75</v>
      </c>
      <c r="G40" s="1192" t="str">
        <f ca="1">" "&amp;Taal04!$B$77&amp;" "&amp;D18</f>
        <v xml:space="preserve"> Win. Wedstrijd 40</v>
      </c>
      <c r="H40" s="1192"/>
      <c r="I40" s="1192"/>
      <c r="J40" s="1192"/>
      <c r="K40" s="1192"/>
      <c r="L40" s="667" t="s">
        <v>854</v>
      </c>
      <c r="M40" s="665"/>
      <c r="N40" s="666" t="str">
        <f ca="1">IF(AK40="LEEG","▼   ","")&amp;"-  "</f>
        <v xml:space="preserve">-  </v>
      </c>
      <c r="O40" s="1192" t="str">
        <f ca="1">" "&amp;Taal04!$B$77&amp;" "&amp;D14</f>
        <v xml:space="preserve"> Win. Wedstrijd 38</v>
      </c>
      <c r="P40" s="1192"/>
      <c r="Q40" s="1192"/>
      <c r="R40" s="1192"/>
      <c r="S40" s="1192"/>
      <c r="T40" s="1192"/>
      <c r="U40" s="667" t="s">
        <v>855</v>
      </c>
      <c r="V40" s="666" t="str">
        <f ca="1">IF(AL40="LEEG","▼   ","")&amp;": "</f>
        <v xml:space="preserve">: </v>
      </c>
      <c r="W40" s="738">
        <v>2</v>
      </c>
      <c r="X40" s="940" t="s">
        <v>12</v>
      </c>
      <c r="Y40" s="738">
        <v>1</v>
      </c>
      <c r="Z40" s="963"/>
      <c r="AA40" s="411"/>
      <c r="AB40" s="851">
        <f>IF(AND(AM40="GOED",AN40="GOED"),W40+Y40,0)</f>
        <v>3</v>
      </c>
      <c r="AC40" s="271" t="str">
        <f ca="1">IF(OR(L40="",ISBLANK(L40),L40=$AQ$11),"OO",IF(TYPE(VLOOKUP(L40,Taal02!$C$100:$D$419,2,FALSE))=16,"XX",VLOOKUP(L40,Taal02!$C$100:$D$419,2,FALSE)))</f>
        <v>C4</v>
      </c>
      <c r="AD40" s="235" t="str">
        <f ca="1">IF(AC40="OO","LEEG",IF(AC40="XX","FOUT",VLOOKUP(AC40,Voorblad!$X$65:$Z$98,3,FALSE)))</f>
        <v>GB</v>
      </c>
      <c r="AE40" s="271" t="str">
        <f ca="1">IF(OR(U40="",ISBLANK(U40),U40=$AQ$11),"OO",IF(TYPE(VLOOKUP(U40,Taal02!$C$100:$D$419,2,FALSE))=16,"XX",VLOOKUP(U40,Taal02!$C$100:$D$419,2,FALSE)))</f>
        <v>B2</v>
      </c>
      <c r="AF40" s="235" t="str">
        <f ca="1">IF(AE40="OO","LEEG",IF(AE40="XX","FOUT",VLOOKUP(AE40,Voorblad!$X$65:$Z$98,3,FALSE)))</f>
        <v>HR</v>
      </c>
      <c r="AG40" s="5"/>
      <c r="AH40" s="363" t="s">
        <v>2315</v>
      </c>
      <c r="AI40" s="10" t="s">
        <v>12</v>
      </c>
      <c r="AJ40" s="363" t="s">
        <v>459</v>
      </c>
      <c r="AK40" s="4" t="str">
        <f ca="1">IF(AD40="LEEG","LEEG",IF(TYPE(AD40)=2,IF(LEN(AD40)=2,IF(AND($AI$11=0,AH41="DUBBEL"),"ONGELDIG","GOED"),"ONGELDIG"),"ONGELDIG"))</f>
        <v>GOED</v>
      </c>
      <c r="AL40" s="4" t="str">
        <f ca="1">IF(AF40="LEEG","LEEG",IF(TYPE(AF40)=2,IF(LEN(AF40)=2,IF(AND($AI$11=0,AJ41="DUBBEL"),"ONGELDIG","GOED"),"ONGELDIG"),"ONGELDIG"))</f>
        <v>GOED</v>
      </c>
      <c r="AM40" s="4" t="str">
        <f>IF(ISBLANK(W40),"LEEG",IF(TYPE(W40)=1,IF(AND(W40&lt;10,W40&gt;=0),IF(W40=ROUND(W40,0),"GOED","ONGELDIG"),"ONGELDIG"),"ONGELDIG"))</f>
        <v>GOED</v>
      </c>
      <c r="AN40" s="4" t="str">
        <f>IF(ISBLANK(Y40),"LEEG",IF(TYPE(Y40)=1,IF(AND(Y40&lt;10,Y40&gt;=0),IF(Y40=ROUND(Y40,0),"GOED","ONGELDIG"),"ONGELDIG"),"ONGELDIG"))</f>
        <v>GOED</v>
      </c>
      <c r="AO40" s="138" t="str">
        <f ca="1">IF(AK40="GOED",IF(AL40="GOED",IF(AM40="GOED",IF(AN40="GOED",AD40&amp;AF40&amp;W40&amp;Y40&amp;"|","FOUT"),"FOUT"),"FOUT"),"FOUT")</f>
        <v>GBHR21|</v>
      </c>
      <c r="AP40" s="91">
        <f ca="1">LEN(AO40)</f>
        <v>7</v>
      </c>
      <c r="AQ40" s="291" t="str">
        <f ca="1">VLOOKUP(AR40,Voorblad!$X$67:$Z$98,2,FALSE)</f>
        <v>Georgië</v>
      </c>
      <c r="AR40" s="292" t="str">
        <f>AR38&amp;2</f>
        <v>F2</v>
      </c>
      <c r="AS40" s="684" t="str">
        <f ca="1">IF(AT40=$AR$11,$AQ$11,IF(AT40=$AR$12,$AQ$12,VLOOKUP(AT40,Voorblad!$X$67:$Z$98,2,FALSE)))</f>
        <v>Oekraïne</v>
      </c>
      <c r="AT40" s="685" t="str">
        <f t="shared" ca="1" si="5"/>
        <v>E4</v>
      </c>
      <c r="AU40" s="684" t="str">
        <f ca="1">IF(AV40=$AR$11,$AQ$11,IF(AV40=$AR$12,$AQ$12,VLOOKUP(AV40,Voorblad!$X$67:$Z$98,2,FALSE)))</f>
        <v/>
      </c>
      <c r="AV40" s="685" t="str">
        <f t="shared" ca="1" si="6"/>
        <v>??</v>
      </c>
      <c r="AW40" s="684" t="str">
        <f ca="1">IF(AX40=$AR$11,$AQ$11,IF(AX40=$AR$12,$AQ$12,VLOOKUP(AX40,Voorblad!$X$67:$Z$98,2,FALSE)))</f>
        <v>Servië</v>
      </c>
      <c r="AX40" s="685" t="str">
        <f t="shared" ca="1" si="7"/>
        <v>C3</v>
      </c>
      <c r="AY40" s="684" t="str">
        <f ca="1">IF(AZ40=$AR$11,$AQ$11,IF(AZ40=$AR$12,$AQ$12,VLOOKUP(AZ40,Voorblad!$X$67:$Z$98,2,FALSE)))</f>
        <v/>
      </c>
      <c r="AZ40" s="685" t="str">
        <f t="shared" ca="1" si="8"/>
        <v>??</v>
      </c>
      <c r="BA40" s="688">
        <f t="shared" si="9"/>
        <v>24</v>
      </c>
    </row>
    <row r="41" spans="1:56" ht="18.95" customHeight="1" x14ac:dyDescent="0.25">
      <c r="A41" s="173"/>
      <c r="B41" s="17"/>
      <c r="C41" s="949"/>
      <c r="D41" s="17"/>
      <c r="E41" s="17"/>
      <c r="F41" s="17"/>
      <c r="G41" s="1211" t="str">
        <f ca="1">IF($AB$9=1," "&amp;AC41,IF($AB$9=2,IF(AC40="OO"," "&amp;AC41,""),""))</f>
        <v xml:space="preserve"> Engeland</v>
      </c>
      <c r="H41" s="1211"/>
      <c r="I41" s="1211"/>
      <c r="J41" s="1211"/>
      <c r="K41" s="1211"/>
      <c r="L41" s="1211"/>
      <c r="M41" s="16"/>
      <c r="N41" s="16"/>
      <c r="O41" s="1211" t="str">
        <f ca="1">IF($AB$9=1," "&amp;AE41,IF($AB$9=2,IF(AE40="OO"," "&amp;AE41,""),""))</f>
        <v xml:space="preserve"> Kroatië</v>
      </c>
      <c r="P41" s="1211"/>
      <c r="Q41" s="1211"/>
      <c r="R41" s="1211"/>
      <c r="S41" s="1211"/>
      <c r="T41" s="1211"/>
      <c r="U41" s="1211"/>
      <c r="V41" s="17"/>
      <c r="W41" s="17"/>
      <c r="X41" s="262"/>
      <c r="Y41" s="17"/>
      <c r="Z41" s="60"/>
      <c r="AA41" s="17"/>
      <c r="AB41" s="850"/>
      <c r="AC41" s="1193" t="str">
        <f ca="1">AM98</f>
        <v>Engeland</v>
      </c>
      <c r="AD41" s="1193"/>
      <c r="AE41" s="1193" t="str">
        <f ca="1">AO98</f>
        <v>Kroatië</v>
      </c>
      <c r="AF41" s="1193"/>
      <c r="AG41" s="716" t="str">
        <f ca="1">IF(AO40="FOUT","",IF(W40&gt;Y40,AC40,IF(W40&lt;Y40,AE40,AC40&amp;AE40)))</f>
        <v>C4</v>
      </c>
      <c r="AH41" s="415" t="str">
        <f ca="1">IF(AD40="LEEG","LEEG",IF(AD40= "FOUT","ONGELDIG",IF(LEN(SUBSTITUTE(SUBSTITUTE("|"&amp;$AD$36&amp;"|"&amp;$AF$36&amp;"|"&amp;$AD$38&amp;"|"&amp;$AF$38&amp;"|"&amp;$AD$40&amp;"|"&amp;$AF$40&amp;"|"&amp;$AD$42&amp;"|"&amp;$AF$42&amp;"|","LEEG","##"),AD40,"CONTROLE"))=$AJ$44,"GOED","DUBBEL")))</f>
        <v>GOED</v>
      </c>
      <c r="AI41" s="5"/>
      <c r="AJ41" s="415" t="str">
        <f ca="1">IF(AF40="LEEG","LEEG",IF(AF40= "FOUT","ONGELDIG",IF(LEN(SUBSTITUTE(SUBSTITUTE("|"&amp;$AD$36&amp;"|"&amp;$AF$36&amp;"|"&amp;$AD$38&amp;"|"&amp;$AF$38&amp;"|"&amp;$AD$40&amp;"|"&amp;$AF$40&amp;"|"&amp;$AD$42&amp;"|"&amp;$AF$42&amp;"|","LEEG","##"),AF40,"CONTROLE"))=$AJ$44,"GOED","DUBBEL")))</f>
        <v>GOED</v>
      </c>
      <c r="AK41" s="4"/>
      <c r="AL41" s="4"/>
      <c r="AM41" s="4"/>
      <c r="AN41" s="4"/>
      <c r="AO41" s="138"/>
      <c r="AP41" s="91"/>
      <c r="AQ41" s="291" t="str">
        <f ca="1">VLOOKUP(AR41,Voorblad!$X$67:$Z$98,2,FALSE)</f>
        <v>Portugal</v>
      </c>
      <c r="AR41" s="292" t="str">
        <f>AR38&amp;3</f>
        <v>F3</v>
      </c>
      <c r="AS41" s="684" t="str">
        <f ca="1">IF(AT41=$AR$11,$AQ$11,IF(AT41=$AR$12,$AQ$12,VLOOKUP(AT41,Voorblad!$X$67:$Z$98,2,FALSE)))</f>
        <v>Oostenrijk</v>
      </c>
      <c r="AT41" s="685" t="str">
        <f t="shared" ca="1" si="5"/>
        <v>D3</v>
      </c>
      <c r="AU41" s="684" t="str">
        <f ca="1">IF(AV41=$AR$11,$AQ$11,IF(AV41=$AR$12,$AQ$12,VLOOKUP(AV41,Voorblad!$X$67:$Z$98,2,FALSE)))</f>
        <v/>
      </c>
      <c r="AV41" s="685" t="str">
        <f t="shared" ca="1" si="6"/>
        <v>??</v>
      </c>
      <c r="AW41" s="684" t="str">
        <f ca="1">IF(AX41=$AR$11,$AQ$11,IF(AX41=$AR$12,$AQ$12,VLOOKUP(AX41,Voorblad!$X$67:$Z$98,2,FALSE)))</f>
        <v>Slovenië</v>
      </c>
      <c r="AX41" s="685" t="str">
        <f t="shared" ca="1" si="7"/>
        <v>C1</v>
      </c>
      <c r="AY41" s="684" t="str">
        <f ca="1">IF(AZ41=$AR$11,$AQ$11,IF(AZ41=$AR$12,$AQ$12,VLOOKUP(AZ41,Voorblad!$X$67:$Z$98,2,FALSE)))</f>
        <v/>
      </c>
      <c r="AZ41" s="685" t="str">
        <f t="shared" ca="1" si="8"/>
        <v>??</v>
      </c>
      <c r="BA41" s="688">
        <f t="shared" ref="BA41:BA49" si="11">BA40+2</f>
        <v>26</v>
      </c>
    </row>
    <row r="42" spans="1:56" ht="15" customHeight="1" x14ac:dyDescent="0.25">
      <c r="A42" s="173"/>
      <c r="B42" s="17"/>
      <c r="C42" s="949"/>
      <c r="D42" s="6">
        <f>D40-1</f>
        <v>47</v>
      </c>
      <c r="E42" s="11">
        <f>E38+1</f>
        <v>45479.875</v>
      </c>
      <c r="F42" s="134">
        <f>E42+TIME(0,0,0)</f>
        <v>45479.875</v>
      </c>
      <c r="G42" s="1192" t="str">
        <f ca="1">" "&amp;Taal04!$B$77&amp;" "&amp;D26</f>
        <v xml:space="preserve"> Win. Wedstrijd 43</v>
      </c>
      <c r="H42" s="1192"/>
      <c r="I42" s="1192"/>
      <c r="J42" s="1192"/>
      <c r="K42" s="1192"/>
      <c r="L42" s="667" t="s">
        <v>463</v>
      </c>
      <c r="M42" s="665"/>
      <c r="N42" s="666" t="str">
        <f ca="1">IF(AK42="LEEG","▼   ","")&amp;"-  "</f>
        <v xml:space="preserve">-  </v>
      </c>
      <c r="O42" s="1192" t="str">
        <f ca="1">" "&amp;Taal04!$B$77&amp;" "&amp;D28</f>
        <v xml:space="preserve"> Win. Wedstrijd 44</v>
      </c>
      <c r="P42" s="1192"/>
      <c r="Q42" s="1192"/>
      <c r="R42" s="1192"/>
      <c r="S42" s="1192"/>
      <c r="T42" s="1192"/>
      <c r="U42" s="667" t="s">
        <v>465</v>
      </c>
      <c r="V42" s="666" t="str">
        <f ca="1">IF(AL42="LEEG","▼   ","")&amp;": "</f>
        <v xml:space="preserve">: </v>
      </c>
      <c r="W42" s="738">
        <v>1</v>
      </c>
      <c r="X42" s="940" t="s">
        <v>12</v>
      </c>
      <c r="Y42" s="738">
        <v>2</v>
      </c>
      <c r="Z42" s="963"/>
      <c r="AA42" s="411"/>
      <c r="AB42" s="851">
        <f>IF(AND(AM42="GOED",AN42="GOED"),W42+Y42,0)</f>
        <v>3</v>
      </c>
      <c r="AC42" s="271" t="str">
        <f ca="1">IF(OR(L42="",ISBLANK(L42),L42=$AQ$11),"OO",IF(TYPE(VLOOKUP(L42,Taal02!$C$100:$D$419,2,FALSE))=16,"XX",VLOOKUP(L42,Taal02!$C$100:$D$419,2,FALSE)))</f>
        <v>E1</v>
      </c>
      <c r="AD42" s="235" t="str">
        <f ca="1">IF(AC42="OO","LEEG",IF(AC42="XX","FOUT",VLOOKUP(AC42,Voorblad!$X$65:$Z$98,3,FALSE)))</f>
        <v>BE</v>
      </c>
      <c r="AE42" s="271" t="str">
        <f ca="1">IF(OR(U42="",ISBLANK(U42),U42=$AQ$11),"OO",IF(TYPE(VLOOKUP(U42,Taal02!$C$100:$D$419,2,FALSE))=16,"XX",VLOOKUP(U42,Taal02!$C$100:$D$419,2,FALSE)))</f>
        <v>D4</v>
      </c>
      <c r="AF42" s="235" t="str">
        <f ca="1">IF(AE42="OO","LEEG",IF(AE42="XX","FOUT",VLOOKUP(AE42,Voorblad!$X$65:$Z$98,3,FALSE)))</f>
        <v>FR</v>
      </c>
      <c r="AG42" s="5"/>
      <c r="AH42" s="363" t="s">
        <v>2319</v>
      </c>
      <c r="AI42" s="10" t="s">
        <v>12</v>
      </c>
      <c r="AJ42" s="363" t="s">
        <v>2318</v>
      </c>
      <c r="AK42" s="4" t="str">
        <f ca="1">IF(AD42="LEEG","LEEG",IF(TYPE(AD42)=2,IF(LEN(AD42)=2,IF(AND($AI$11=0,AH43="DUBBEL"),"ONGELDIG","GOED"),"ONGELDIG"),"ONGELDIG"))</f>
        <v>GOED</v>
      </c>
      <c r="AL42" s="4" t="str">
        <f ca="1">IF(AF42="LEEG","LEEG",IF(TYPE(AF42)=2,IF(LEN(AF42)=2,IF(AND($AI$11=0,AJ43="DUBBEL"),"ONGELDIG","GOED"),"ONGELDIG"),"ONGELDIG"))</f>
        <v>GOED</v>
      </c>
      <c r="AM42" s="4" t="str">
        <f>IF(ISBLANK(W42),"LEEG",IF(TYPE(W42)=1,IF(AND(W42&lt;10,W42&gt;=0),IF(W42=ROUND(W42,0),"GOED","ONGELDIG"),"ONGELDIG"),"ONGELDIG"))</f>
        <v>GOED</v>
      </c>
      <c r="AN42" s="4" t="str">
        <f>IF(ISBLANK(Y42),"LEEG",IF(TYPE(Y42)=1,IF(AND(Y42&lt;10,Y42&gt;=0),IF(Y42=ROUND(Y42,0),"GOED","ONGELDIG"),"ONGELDIG"),"ONGELDIG"))</f>
        <v>GOED</v>
      </c>
      <c r="AO42" s="138" t="str">
        <f ca="1">IF(AK42="GOED",IF(AL42="GOED",IF(AM42="GOED",IF(AN42="GOED",AD42&amp;AF42&amp;W42&amp;Y42&amp;"|","FOUT"),"FOUT"),"FOUT"),"FOUT")</f>
        <v>BEFR12|</v>
      </c>
      <c r="AP42" s="91">
        <f ca="1">LEN(AO42)</f>
        <v>7</v>
      </c>
      <c r="AQ42" s="293" t="str">
        <f ca="1">VLOOKUP(AR42,Voorblad!$X$67:$Z$98,2,FALSE)</f>
        <v>Tsjechië</v>
      </c>
      <c r="AR42" s="295" t="str">
        <f>AR38&amp;4</f>
        <v>F4</v>
      </c>
      <c r="AS42" s="684" t="str">
        <f ca="1">IF(AT42=$AR$11,$AQ$11,IF(AT42=$AR$12,$AQ$12,VLOOKUP(AT42,Voorblad!$X$67:$Z$98,2,FALSE)))</f>
        <v>Polen</v>
      </c>
      <c r="AT42" s="685" t="str">
        <f t="shared" ca="1" si="5"/>
        <v>D1</v>
      </c>
      <c r="AU42" s="684" t="str">
        <f ca="1">IF(AV42=$AR$11,$AQ$11,IF(AV42=$AR$12,$AQ$12,VLOOKUP(AV42,Voorblad!$X$67:$Z$98,2,FALSE)))</f>
        <v/>
      </c>
      <c r="AV42" s="685" t="str">
        <f t="shared" ca="1" si="6"/>
        <v>??</v>
      </c>
      <c r="AW42" s="684" t="str">
        <f ca="1">IF(AX42=$AR$11,$AQ$11,IF(AX42=$AR$12,$AQ$12,VLOOKUP(AX42,Voorblad!$X$67:$Z$98,2,FALSE)))</f>
        <v>Spanje</v>
      </c>
      <c r="AX42" s="685" t="str">
        <f t="shared" ca="1" si="7"/>
        <v>B1</v>
      </c>
      <c r="AY42" s="684" t="str">
        <f ca="1">IF(AZ42=$AR$11,$AQ$11,IF(AZ42=$AR$12,$AQ$12,VLOOKUP(AZ42,Voorblad!$X$67:$Z$98,2,FALSE)))</f>
        <v/>
      </c>
      <c r="AZ42" s="685" t="str">
        <f t="shared" ca="1" si="8"/>
        <v>??</v>
      </c>
      <c r="BA42" s="688">
        <f t="shared" si="11"/>
        <v>28</v>
      </c>
    </row>
    <row r="43" spans="1:56" ht="15" customHeight="1" x14ac:dyDescent="0.25">
      <c r="A43" s="173"/>
      <c r="B43" s="17"/>
      <c r="C43" s="949"/>
      <c r="D43" s="17"/>
      <c r="E43" s="17"/>
      <c r="F43" s="17"/>
      <c r="G43" s="1211" t="str">
        <f ca="1">IF($AB$9=1," "&amp;AC43,IF($AB$9=2,IF(AC42="OO"," "&amp;AC43,""),""))</f>
        <v xml:space="preserve"> België</v>
      </c>
      <c r="H43" s="1211"/>
      <c r="I43" s="1211"/>
      <c r="J43" s="1211"/>
      <c r="K43" s="1211"/>
      <c r="L43" s="1211"/>
      <c r="M43" s="16"/>
      <c r="N43" s="16"/>
      <c r="O43" s="1211" t="str">
        <f ca="1">IF($AB$9=1," "&amp;AE43,IF($AB$9=2,IF(AE42="OO"," "&amp;AE43,""),""))</f>
        <v xml:space="preserve"> Frankrijk</v>
      </c>
      <c r="P43" s="1211"/>
      <c r="Q43" s="1211"/>
      <c r="R43" s="1211"/>
      <c r="S43" s="1211"/>
      <c r="T43" s="1211"/>
      <c r="U43" s="1211"/>
      <c r="V43" s="17"/>
      <c r="W43" s="17"/>
      <c r="X43" s="17"/>
      <c r="Y43" s="17"/>
      <c r="Z43" s="60"/>
      <c r="AA43" s="17"/>
      <c r="AB43" s="850"/>
      <c r="AC43" s="1193" t="str">
        <f ca="1">AM99</f>
        <v>België</v>
      </c>
      <c r="AD43" s="1193"/>
      <c r="AE43" s="1193" t="str">
        <f ca="1">AO99</f>
        <v>Frankrijk</v>
      </c>
      <c r="AF43" s="1193"/>
      <c r="AG43" s="716" t="str">
        <f ca="1">IF(AO42="FOUT","",IF(W42&gt;Y42,AC42,IF(W42&lt;Y42,AE42,AC42&amp;AE42)))</f>
        <v>D4</v>
      </c>
      <c r="AH43" s="415" t="str">
        <f ca="1">IF(AD42="LEEG","LEEG",IF(AD42= "FOUT","ONGELDIG",IF(LEN(SUBSTITUTE(SUBSTITUTE("|"&amp;$AD$36&amp;"|"&amp;$AF$36&amp;"|"&amp;$AD$38&amp;"|"&amp;$AF$38&amp;"|"&amp;$AD$40&amp;"|"&amp;$AF$40&amp;"|"&amp;$AD$42&amp;"|"&amp;$AF$42&amp;"|","LEEG","##"),AD42,"CONTROLE"))=$AJ$44,"GOED","DUBBEL")))</f>
        <v>GOED</v>
      </c>
      <c r="AI43" s="5"/>
      <c r="AJ43" s="415" t="str">
        <f ca="1">IF(AF42="LEEG","LEEG",IF(AF42= "FOUT","ONGELDIG",IF(LEN(SUBSTITUTE(SUBSTITUTE("|"&amp;$AD$36&amp;"|"&amp;$AF$36&amp;"|"&amp;$AD$38&amp;"|"&amp;$AF$38&amp;"|"&amp;$AD$40&amp;"|"&amp;$AF$40&amp;"|"&amp;$AD$42&amp;"|"&amp;$AF$42&amp;"|","LEEG","##"),AF42,"CONTROLE"))=$AJ$44,"GOED","DUBBEL")))</f>
        <v>GOED</v>
      </c>
      <c r="AK43" s="1"/>
      <c r="AL43" s="1"/>
      <c r="AM43" s="1"/>
      <c r="AN43" s="1"/>
      <c r="AO43" s="138"/>
      <c r="AP43" s="91"/>
      <c r="AQ43" s="287"/>
      <c r="AR43" s="289" t="s">
        <v>167</v>
      </c>
      <c r="AS43" s="684" t="str">
        <f ca="1">IF(AT43=$AR$11,$AQ$11,IF(AT43=$AR$12,$AQ$12,VLOOKUP(AT43,Voorblad!$X$67:$Z$98,2,FALSE)))</f>
        <v>Portugal</v>
      </c>
      <c r="AT43" s="685" t="str">
        <f t="shared" ca="1" si="5"/>
        <v>F3</v>
      </c>
      <c r="AU43" s="684" t="str">
        <f ca="1">IF(AV43=$AR$11,$AQ$11,IF(AV43=$AR$12,$AQ$12,VLOOKUP(AV43,Voorblad!$X$67:$Z$98,2,FALSE)))</f>
        <v/>
      </c>
      <c r="AV43" s="685" t="str">
        <f t="shared" ca="1" si="6"/>
        <v>??</v>
      </c>
      <c r="AW43" s="684" t="str">
        <f ca="1">IF(AX43=$AR$11,$AQ$11,IF(AX43=$AR$12,$AQ$12,VLOOKUP(AX43,Voorblad!$X$67:$Z$98,2,FALSE)))</f>
        <v>Tsjechië</v>
      </c>
      <c r="AX43" s="685" t="str">
        <f t="shared" ca="1" si="7"/>
        <v>F4</v>
      </c>
      <c r="AY43" s="684" t="str">
        <f ca="1">IF(AZ43=$AR$11,$AQ$11,IF(AZ43=$AR$12,$AQ$12,VLOOKUP(AZ43,Voorblad!$X$67:$Z$98,2,FALSE)))</f>
        <v/>
      </c>
      <c r="AZ43" s="685" t="str">
        <f t="shared" ca="1" si="8"/>
        <v>??</v>
      </c>
      <c r="BA43" s="688">
        <f t="shared" si="11"/>
        <v>30</v>
      </c>
    </row>
    <row r="44" spans="1:56" ht="24" customHeight="1" x14ac:dyDescent="0.4">
      <c r="A44" s="173"/>
      <c r="B44" s="17"/>
      <c r="C44" s="949"/>
      <c r="D44" s="829" t="str">
        <f ca="1">Taal04!$B$29</f>
        <v>Halve finale</v>
      </c>
      <c r="E44" s="17"/>
      <c r="F44" s="17"/>
      <c r="G44" s="17"/>
      <c r="H44" s="17"/>
      <c r="I44" s="17"/>
      <c r="J44" s="17"/>
      <c r="K44" s="17"/>
      <c r="L44" s="17"/>
      <c r="M44" s="17"/>
      <c r="N44" s="17"/>
      <c r="O44" s="17"/>
      <c r="P44" s="17"/>
      <c r="Q44" s="17"/>
      <c r="R44" s="17"/>
      <c r="S44" s="17"/>
      <c r="T44" s="17"/>
      <c r="U44" s="17"/>
      <c r="V44" s="17"/>
      <c r="W44" s="262"/>
      <c r="X44" s="262"/>
      <c r="Y44" s="262"/>
      <c r="Z44" s="60"/>
      <c r="AA44" s="17"/>
      <c r="AB44" s="850"/>
      <c r="AC44" s="296"/>
      <c r="AD44" s="296"/>
      <c r="AE44" s="296"/>
      <c r="AF44" s="296"/>
      <c r="AG44" s="5"/>
      <c r="AH44" s="5"/>
      <c r="AI44" s="5"/>
      <c r="AJ44" s="835">
        <f>8*3+1+LEN("CONTROLE")-2</f>
        <v>31</v>
      </c>
      <c r="AK44" s="1195" t="s">
        <v>20</v>
      </c>
      <c r="AL44" s="1195"/>
      <c r="AM44" s="1195"/>
      <c r="AN44" s="1195"/>
      <c r="AO44" s="1195"/>
      <c r="AP44" s="91"/>
      <c r="AQ44" s="291" t="str">
        <f ca="1">VLOOKUP(AR44,Voorblad!$X$67:$Z$98,2,FALSE)</f>
        <v>ZZZ_land_G1</v>
      </c>
      <c r="AR44" s="292" t="str">
        <f>AR43&amp;1</f>
        <v>G1</v>
      </c>
      <c r="AS44" s="684" t="str">
        <f ca="1">IF(AT44=$AR$11,$AQ$11,IF(AT44=$AR$12,$AQ$12,VLOOKUP(AT44,Voorblad!$X$67:$Z$98,2,FALSE)))</f>
        <v>Roemenië</v>
      </c>
      <c r="AT44" s="685" t="str">
        <f t="shared" ca="1" si="5"/>
        <v>E3</v>
      </c>
      <c r="AU44" s="684" t="str">
        <f ca="1">IF(AV44=$AR$11,$AQ$11,IF(AV44=$AR$12,$AQ$12,VLOOKUP(AV44,Voorblad!$X$67:$Z$98,2,FALSE)))</f>
        <v/>
      </c>
      <c r="AV44" s="685" t="str">
        <f t="shared" ca="1" si="6"/>
        <v>??</v>
      </c>
      <c r="AW44" s="684" t="str">
        <f ca="1">IF(AX44=$AR$11,$AQ$11,IF(AX44=$AR$12,$AQ$12,VLOOKUP(AX44,Voorblad!$X$67:$Z$98,2,FALSE)))</f>
        <v>Turkije</v>
      </c>
      <c r="AX44" s="685" t="str">
        <f t="shared" ca="1" si="7"/>
        <v>F1</v>
      </c>
      <c r="AY44" s="684" t="str">
        <f ca="1">IF(AZ44=$AR$11,$AQ$11,IF(AZ44=$AR$12,$AQ$12,VLOOKUP(AZ44,Voorblad!$X$67:$Z$98,2,FALSE)))</f>
        <v/>
      </c>
      <c r="AZ44" s="685" t="str">
        <f t="shared" ca="1" si="8"/>
        <v>??</v>
      </c>
      <c r="BA44" s="688">
        <f t="shared" si="11"/>
        <v>32</v>
      </c>
    </row>
    <row r="45" spans="1:56" ht="15" customHeight="1" x14ac:dyDescent="0.25">
      <c r="A45" s="173"/>
      <c r="B45" s="17"/>
      <c r="C45" s="949"/>
      <c r="D45" s="17"/>
      <c r="E45" s="941" t="str">
        <f ca="1">Taal04!$B$20</f>
        <v>Datum</v>
      </c>
      <c r="F45" s="941" t="str">
        <f ca="1">Taal04!$B$21</f>
        <v>Tijd</v>
      </c>
      <c r="G45" s="1212" t="str">
        <f ca="1">Taal04!$B$22</f>
        <v>Wedstrijd</v>
      </c>
      <c r="H45" s="1212"/>
      <c r="I45" s="1212"/>
      <c r="J45" s="1212"/>
      <c r="K45" s="1212"/>
      <c r="L45" s="1212"/>
      <c r="M45" s="1212"/>
      <c r="N45" s="1212"/>
      <c r="O45" s="1212"/>
      <c r="P45" s="1212"/>
      <c r="Q45" s="1212"/>
      <c r="R45" s="1212"/>
      <c r="S45" s="1212"/>
      <c r="T45" s="1212"/>
      <c r="U45" s="1212"/>
      <c r="V45" s="17"/>
      <c r="W45" s="1233" t="str">
        <f ca="1">Taal04!$B$24</f>
        <v>Eindstand</v>
      </c>
      <c r="X45" s="1234"/>
      <c r="Y45" s="1234"/>
      <c r="Z45" s="60"/>
      <c r="AA45" s="17"/>
      <c r="AB45" s="850"/>
      <c r="AC45" s="235" t="s">
        <v>18</v>
      </c>
      <c r="AD45" s="235" t="s">
        <v>19</v>
      </c>
      <c r="AE45" s="235" t="s">
        <v>18</v>
      </c>
      <c r="AF45" s="235" t="s">
        <v>19</v>
      </c>
      <c r="AG45" s="5"/>
      <c r="AH45" s="10" t="s">
        <v>75</v>
      </c>
      <c r="AI45" s="5"/>
      <c r="AJ45" s="10" t="s">
        <v>75</v>
      </c>
      <c r="AK45" s="4" t="s">
        <v>26</v>
      </c>
      <c r="AL45" s="4" t="s">
        <v>27</v>
      </c>
      <c r="AM45" s="4" t="s">
        <v>24</v>
      </c>
      <c r="AN45" s="4" t="s">
        <v>25</v>
      </c>
      <c r="AO45" s="138" t="s">
        <v>0</v>
      </c>
      <c r="AP45" s="91"/>
      <c r="AQ45" s="291" t="str">
        <f ca="1">VLOOKUP(AR45,Voorblad!$X$67:$Z$98,2,FALSE)</f>
        <v>ZZZ_land_G2</v>
      </c>
      <c r="AR45" s="292" t="str">
        <f>AR43&amp;2</f>
        <v>G2</v>
      </c>
      <c r="AS45" s="684" t="str">
        <f ca="1">IF(AT45=$AR$11,$AQ$11,IF(AT45=$AR$12,$AQ$12,VLOOKUP(AT45,Voorblad!$X$67:$Z$98,2,FALSE)))</f>
        <v>Schotland</v>
      </c>
      <c r="AT45" s="685" t="str">
        <f t="shared" ca="1" si="5"/>
        <v>A2</v>
      </c>
      <c r="AU45" s="684" t="str">
        <f ca="1">IF(AV45=$AR$11,$AQ$11,IF(AV45=$AR$12,$AQ$12,VLOOKUP(AV45,Voorblad!$X$67:$Z$98,2,FALSE)))</f>
        <v/>
      </c>
      <c r="AV45" s="685" t="str">
        <f t="shared" ca="1" si="6"/>
        <v>??</v>
      </c>
      <c r="AW45" s="684" t="str">
        <f ca="1">IF(AX45=$AR$11,$AQ$11,IF(AX45=$AR$12,$AQ$12,VLOOKUP(AX45,Voorblad!$X$67:$Z$98,2,FALSE)))</f>
        <v>Zwitserland</v>
      </c>
      <c r="AX45" s="685" t="str">
        <f t="shared" ca="1" si="7"/>
        <v>A4</v>
      </c>
      <c r="AY45" s="684" t="str">
        <f ca="1">IF(AZ45=$AR$11,$AQ$11,IF(AZ45=$AR$12,$AQ$12,VLOOKUP(AZ45,Voorblad!$X$67:$Z$98,2,FALSE)))</f>
        <v/>
      </c>
      <c r="AZ45" s="685" t="str">
        <f t="shared" ca="1" si="8"/>
        <v>??</v>
      </c>
      <c r="BA45" s="688">
        <f t="shared" si="11"/>
        <v>34</v>
      </c>
    </row>
    <row r="46" spans="1:56" ht="15" customHeight="1" x14ac:dyDescent="0.25">
      <c r="A46" s="173"/>
      <c r="B46" s="17"/>
      <c r="C46" s="949"/>
      <c r="D46" s="6">
        <f>D42+2</f>
        <v>49</v>
      </c>
      <c r="E46" s="11">
        <f>E42+3</f>
        <v>45482.875</v>
      </c>
      <c r="F46" s="134">
        <f>E46+TIME(0,0,0)</f>
        <v>45482.875</v>
      </c>
      <c r="G46" s="1192" t="str">
        <f ca="1">" "&amp;Taal04!$B$77&amp;" "&amp;D36</f>
        <v xml:space="preserve"> Win. Wedstrijd 45</v>
      </c>
      <c r="H46" s="1192"/>
      <c r="I46" s="1192"/>
      <c r="J46" s="1192"/>
      <c r="K46" s="1192"/>
      <c r="L46" s="667" t="s">
        <v>1</v>
      </c>
      <c r="M46" s="665"/>
      <c r="N46" s="666" t="str">
        <f ca="1">IF(AK46="LEEG","▼   ","")&amp;"-  "</f>
        <v xml:space="preserve">-  </v>
      </c>
      <c r="O46" s="1192" t="str">
        <f ca="1">" "&amp;Taal04!$B$77&amp;" "&amp;D38</f>
        <v xml:space="preserve"> Win. Wedstrijd 46</v>
      </c>
      <c r="P46" s="1192"/>
      <c r="Q46" s="1192"/>
      <c r="R46" s="1192"/>
      <c r="S46" s="1192"/>
      <c r="T46" s="1192"/>
      <c r="U46" s="667" t="s">
        <v>466</v>
      </c>
      <c r="V46" s="666" t="str">
        <f ca="1">IF(AL46="LEEG","▼   ","")&amp;": "</f>
        <v xml:space="preserve">: </v>
      </c>
      <c r="W46" s="738">
        <v>2</v>
      </c>
      <c r="X46" s="940" t="s">
        <v>12</v>
      </c>
      <c r="Y46" s="738">
        <v>1</v>
      </c>
      <c r="Z46" s="60"/>
      <c r="AA46" s="17"/>
      <c r="AB46" s="851">
        <f>IF(AND(AM46="GOED",AN46="GOED"),W46+Y46,0)</f>
        <v>3</v>
      </c>
      <c r="AC46" s="271" t="str">
        <f ca="1">IF(OR(L46="",ISBLANK(L46),L46=$AQ$11),"OO",IF(TYPE(VLOOKUP(L46,Taal02!$C$100:$D$419,2,FALSE))=16,"XX",VLOOKUP(L46,Taal02!$C$100:$D$419,2,FALSE)))</f>
        <v>A1</v>
      </c>
      <c r="AD46" s="235" t="str">
        <f ca="1">IF(AC46="OO","LEEG",IF(AC46="XX","FOUT",VLOOKUP(AC46,Voorblad!$X$65:$Z$98,3,FALSE)))</f>
        <v>DE</v>
      </c>
      <c r="AE46" s="271" t="str">
        <f ca="1">IF(OR(U46="",ISBLANK(U46),U46=$AQ$11),"OO",IF(TYPE(VLOOKUP(U46,Taal02!$C$100:$D$419,2,FALSE))=16,"XX",VLOOKUP(U46,Taal02!$C$100:$D$419,2,FALSE)))</f>
        <v>F3</v>
      </c>
      <c r="AF46" s="235" t="str">
        <f ca="1">IF(AE46="OO","LEEG",IF(AE46="XX","FOUT",VLOOKUP(AE46,Voorblad!$X$65:$Z$98,3,FALSE)))</f>
        <v>PT</v>
      </c>
      <c r="AG46" s="5"/>
      <c r="AH46" s="363" t="s">
        <v>2298</v>
      </c>
      <c r="AI46" s="10" t="s">
        <v>12</v>
      </c>
      <c r="AJ46" s="363" t="s">
        <v>2298</v>
      </c>
      <c r="AK46" s="4" t="str">
        <f ca="1">IF(AD46="LEEG","LEEG",IF(TYPE(AD46)=2,IF(LEN(AD46)=2,IF(AND($AI$11=0,AH47="DUBBEL"),"ONGELDIG","GOED"),"ONGELDIG"),"ONGELDIG"))</f>
        <v>GOED</v>
      </c>
      <c r="AL46" s="4" t="str">
        <f ca="1">IF(AF46="LEEG","LEEG",IF(TYPE(AF46)=2,IF(LEN(AF46)=2,IF(AND($AI$11=0,AJ47="DUBBEL"),"ONGELDIG","GOED"),"ONGELDIG"),"ONGELDIG"))</f>
        <v>GOED</v>
      </c>
      <c r="AM46" s="4" t="str">
        <f>IF(ISBLANK(W46),"LEEG",IF(TYPE(W46)=1,IF(AND(W46&lt;10,W46&gt;=0),IF(W46=ROUND(W46,0),"GOED","ONGELDIG"),"ONGELDIG"),"ONGELDIG"))</f>
        <v>GOED</v>
      </c>
      <c r="AN46" s="4" t="str">
        <f>IF(ISBLANK(Y46),"LEEG",IF(TYPE(Y46)=1,IF(AND(Y46&lt;10,Y46&gt;=0),IF(Y46=ROUND(Y46,0),"GOED","ONGELDIG"),"ONGELDIG"),"ONGELDIG"))</f>
        <v>GOED</v>
      </c>
      <c r="AO46" s="138" t="str">
        <f ca="1">IF(AK46="GOED",IF(AL46="GOED",IF(AM46="GOED",IF(AN46="GOED",AD46&amp;AF46&amp;W46&amp;Y46&amp;"|","FOUT"),"FOUT"),"FOUT"),"FOUT")</f>
        <v>DEPT21|</v>
      </c>
      <c r="AP46" s="91">
        <f ca="1">LEN(AO46)</f>
        <v>7</v>
      </c>
      <c r="AQ46" s="291" t="str">
        <f ca="1">VLOOKUP(AR46,Voorblad!$X$67:$Z$98,2,FALSE)</f>
        <v>ZZZ_land_G3</v>
      </c>
      <c r="AR46" s="292" t="str">
        <f>AR43&amp;3</f>
        <v>G3</v>
      </c>
      <c r="AS46" s="684" t="str">
        <f ca="1">IF(AT46=$AR$11,$AQ$11,IF(AT46=$AR$12,$AQ$12,VLOOKUP(AT46,Voorblad!$X$67:$Z$98,2,FALSE)))</f>
        <v>Slowakije</v>
      </c>
      <c r="AT46" s="685" t="str">
        <f t="shared" ca="1" si="5"/>
        <v>E2</v>
      </c>
      <c r="AU46" s="684" t="str">
        <f ca="1">IF(AV46=$AR$11,$AQ$11,IF(AV46=$AR$12,$AQ$12,VLOOKUP(AV46,Voorblad!$X$67:$Z$98,2,FALSE)))</f>
        <v/>
      </c>
      <c r="AV46" s="685" t="str">
        <f t="shared" ca="1" si="6"/>
        <v>??</v>
      </c>
      <c r="AW46" s="684" t="str">
        <f ca="1">IF(AX46=$AR$11,$AQ$11,IF(AX46=$AR$12,$AQ$12,VLOOKUP(AX46,Voorblad!$X$67:$Z$98,2,FALSE)))</f>
        <v/>
      </c>
      <c r="AX46" s="685" t="str">
        <f t="shared" ca="1" si="7"/>
        <v>??</v>
      </c>
      <c r="AY46" s="684" t="str">
        <f ca="1">IF(AZ46=$AR$11,$AQ$11,IF(AZ46=$AR$12,$AQ$12,VLOOKUP(AZ46,Voorblad!$X$67:$Z$98,2,FALSE)))</f>
        <v/>
      </c>
      <c r="AZ46" s="685" t="str">
        <f t="shared" ca="1" si="8"/>
        <v>??</v>
      </c>
      <c r="BA46" s="688">
        <f t="shared" si="11"/>
        <v>36</v>
      </c>
    </row>
    <row r="47" spans="1:56" ht="18.95" customHeight="1" x14ac:dyDescent="0.25">
      <c r="A47" s="173"/>
      <c r="B47" s="17"/>
      <c r="C47" s="949"/>
      <c r="D47" s="17"/>
      <c r="E47" s="17"/>
      <c r="F47" s="17"/>
      <c r="G47" s="1211" t="str">
        <f ca="1">IF($AB$9=1," "&amp;AC47,IF($AB$9=2,IF(AC46="OO"," "&amp;AC47,""),""))</f>
        <v xml:space="preserve"> Duitsland / Spanje</v>
      </c>
      <c r="H47" s="1211"/>
      <c r="I47" s="1211"/>
      <c r="J47" s="1211"/>
      <c r="K47" s="1211"/>
      <c r="L47" s="1211"/>
      <c r="M47" s="16"/>
      <c r="N47" s="16"/>
      <c r="O47" s="1211" t="str">
        <f ca="1">IF($AB$9=1," "&amp;AE47,IF($AB$9=2,IF(AE46="OO"," "&amp;AE47,""),""))</f>
        <v xml:space="preserve"> Nederland / Portugal</v>
      </c>
      <c r="P47" s="1211"/>
      <c r="Q47" s="1211"/>
      <c r="R47" s="1211"/>
      <c r="S47" s="1211"/>
      <c r="T47" s="1211"/>
      <c r="U47" s="1211"/>
      <c r="V47" s="17"/>
      <c r="W47" s="17"/>
      <c r="X47" s="262"/>
      <c r="Y47" s="17"/>
      <c r="Z47" s="60"/>
      <c r="AA47" s="17"/>
      <c r="AB47" s="850"/>
      <c r="AC47" s="1193" t="str">
        <f ca="1">AM102</f>
        <v>Duitsland / Spanje</v>
      </c>
      <c r="AD47" s="1193"/>
      <c r="AE47" s="1193" t="str">
        <f ca="1">AO102</f>
        <v>Nederland / Portugal</v>
      </c>
      <c r="AF47" s="1193"/>
      <c r="AG47" s="716" t="str">
        <f ca="1">IF(AO46="FOUT","",IF(W46&gt;Y46,AC46,IF(W46&lt;Y46,AE46,AC46&amp;AE46)))</f>
        <v>A1</v>
      </c>
      <c r="AH47" s="415" t="str">
        <f ca="1">IF(AD46="LEEG","LEEG",IF(AD46= "FOUT","ONGELDIG",IF(LEN(SUBSTITUTE(SUBSTITUTE("|"&amp;$AD$46&amp;"|"&amp;$AF$46&amp;"|"&amp;$AD$48&amp;"|"&amp;$AF$48&amp;"|","LEEG","##"),AD46,"CONTROLE"))=$AJ$50,"GOED","DUBBEL")))</f>
        <v>GOED</v>
      </c>
      <c r="AI47" s="5"/>
      <c r="AJ47" s="415" t="str">
        <f ca="1">IF(AF46="LEEG","LEEG",IF(AF46= "FOUT","ONGELDIG",IF(LEN(SUBSTITUTE(SUBSTITUTE("|"&amp;$AD$46&amp;"|"&amp;$AF$46&amp;"|"&amp;$AD$48&amp;"|"&amp;$AF$48&amp;"|","LEEG","##"),AF46,"CONTROLE"))=$AJ$50,"GOED","DUBBEL")))</f>
        <v>GOED</v>
      </c>
      <c r="AK47" s="4"/>
      <c r="AL47" s="4"/>
      <c r="AM47" s="4"/>
      <c r="AN47" s="4"/>
      <c r="AO47" s="45"/>
      <c r="AP47" s="91"/>
      <c r="AQ47" s="293" t="str">
        <f ca="1">VLOOKUP(AR47,Voorblad!$X$67:$Z$98,2,FALSE)</f>
        <v>ZZZ_land_G4</v>
      </c>
      <c r="AR47" s="295" t="str">
        <f>AR43&amp;4</f>
        <v>G4</v>
      </c>
      <c r="AS47" s="684" t="str">
        <f ca="1">IF(AT47=$AR$11,$AQ$11,IF(AT47=$AR$12,$AQ$12,VLOOKUP(AT47,Voorblad!$X$67:$Z$98,2,FALSE)))</f>
        <v>Tsjechië</v>
      </c>
      <c r="AT47" s="685" t="str">
        <f t="shared" ca="1" si="5"/>
        <v>F4</v>
      </c>
      <c r="AU47" s="684" t="str">
        <f ca="1">IF(AV47=$AR$11,$AQ$11,IF(AV47=$AR$12,$AQ$12,VLOOKUP(AV47,Voorblad!$X$67:$Z$98,2,FALSE)))</f>
        <v/>
      </c>
      <c r="AV47" s="685" t="str">
        <f t="shared" ca="1" si="6"/>
        <v>??</v>
      </c>
      <c r="AW47" s="684" t="str">
        <f ca="1">IF(AX47=$AR$11,$AQ$11,IF(AX47=$AR$12,$AQ$12,VLOOKUP(AX47,Voorblad!$X$67:$Z$98,2,FALSE)))</f>
        <v/>
      </c>
      <c r="AX47" s="685" t="str">
        <f t="shared" ca="1" si="7"/>
        <v>??</v>
      </c>
      <c r="AY47" s="684" t="str">
        <f ca="1">IF(AZ47=$AR$11,$AQ$11,IF(AZ47=$AR$12,$AQ$12,VLOOKUP(AZ47,Voorblad!$X$67:$Z$98,2,FALSE)))</f>
        <v/>
      </c>
      <c r="AZ47" s="685" t="str">
        <f t="shared" ca="1" si="8"/>
        <v>??</v>
      </c>
      <c r="BA47" s="688">
        <f t="shared" si="11"/>
        <v>38</v>
      </c>
    </row>
    <row r="48" spans="1:56" ht="15" customHeight="1" x14ac:dyDescent="0.25">
      <c r="A48" s="173"/>
      <c r="B48" s="17"/>
      <c r="C48" s="949"/>
      <c r="D48" s="6">
        <f>D46+1</f>
        <v>50</v>
      </c>
      <c r="E48" s="11">
        <f>E46+1</f>
        <v>45483.875</v>
      </c>
      <c r="F48" s="134">
        <f>E48+TIME(0,0,0)</f>
        <v>45483.875</v>
      </c>
      <c r="G48" s="1192" t="str">
        <f ca="1">" "&amp;Taal04!$B$77&amp;" "&amp;D42</f>
        <v xml:space="preserve"> Win. Wedstrijd 47</v>
      </c>
      <c r="H48" s="1192"/>
      <c r="I48" s="1192"/>
      <c r="J48" s="1192"/>
      <c r="K48" s="1192"/>
      <c r="L48" s="667" t="s">
        <v>465</v>
      </c>
      <c r="M48" s="665"/>
      <c r="N48" s="666" t="str">
        <f ca="1">IF(AK48="LEEG","▼   ","")&amp;"-  "</f>
        <v xml:space="preserve">-  </v>
      </c>
      <c r="O48" s="1192" t="str">
        <f ca="1">" "&amp;Taal04!$B$77&amp;" "&amp;D40</f>
        <v xml:space="preserve"> Win. Wedstrijd 48</v>
      </c>
      <c r="P48" s="1192"/>
      <c r="Q48" s="1192"/>
      <c r="R48" s="1192"/>
      <c r="S48" s="1192"/>
      <c r="T48" s="1192"/>
      <c r="U48" s="667" t="s">
        <v>854</v>
      </c>
      <c r="V48" s="666" t="str">
        <f ca="1">IF(AL48="LEEG","▼   ","")&amp;": "</f>
        <v xml:space="preserve">: </v>
      </c>
      <c r="W48" s="738">
        <v>2</v>
      </c>
      <c r="X48" s="940" t="s">
        <v>12</v>
      </c>
      <c r="Y48" s="738">
        <v>1</v>
      </c>
      <c r="Z48" s="60"/>
      <c r="AA48" s="17"/>
      <c r="AB48" s="851">
        <f>IF(AND(AM48="GOED",AN48="GOED"),W48+Y48,0)</f>
        <v>3</v>
      </c>
      <c r="AC48" s="271" t="str">
        <f ca="1">IF(OR(L48="",ISBLANK(L48),L48=$AQ$11),"OO",IF(TYPE(VLOOKUP(L48,Taal02!$C$100:$D$419,2,FALSE))=16,"XX",VLOOKUP(L48,Taal02!$C$100:$D$419,2,FALSE)))</f>
        <v>D4</v>
      </c>
      <c r="AD48" s="235" t="str">
        <f ca="1">IF(AC48="OO","LEEG",IF(AC48="XX","FOUT",VLOOKUP(AC48,Voorblad!$X$65:$Z$98,3,FALSE)))</f>
        <v>FR</v>
      </c>
      <c r="AE48" s="271" t="str">
        <f ca="1">IF(OR(U48="",ISBLANK(U48),U48=$AQ$11),"OO",IF(TYPE(VLOOKUP(U48,Taal02!$C$100:$D$419,2,FALSE))=16,"XX",VLOOKUP(U48,Taal02!$C$100:$D$419,2,FALSE)))</f>
        <v>C4</v>
      </c>
      <c r="AF48" s="235" t="str">
        <f ca="1">IF(AE48="OO","LEEG",IF(AE48="XX","FOUT",VLOOKUP(AE48,Voorblad!$X$65:$Z$98,3,FALSE)))</f>
        <v>GB</v>
      </c>
      <c r="AG48" s="716" t="str">
        <f ca="1">IF(AO46="FOUT","",IF(W46&lt;Y46,AC46,IF(W46&gt;Y46,AE46,AC46&amp;AE46)))</f>
        <v>F3</v>
      </c>
      <c r="AH48" s="363" t="s">
        <v>2298</v>
      </c>
      <c r="AI48" s="10" t="s">
        <v>12</v>
      </c>
      <c r="AJ48" s="363" t="s">
        <v>2298</v>
      </c>
      <c r="AK48" s="4" t="str">
        <f ca="1">IF(AD48="LEEG","LEEG",IF(TYPE(AD48)=2,IF(LEN(AD48)=2,IF(AND($AI$11=0,AH49="DUBBEL"),"ONGELDIG","GOED"),"ONGELDIG"),"ONGELDIG"))</f>
        <v>GOED</v>
      </c>
      <c r="AL48" s="4" t="str">
        <f ca="1">IF(AF48="LEEG","LEEG",IF(TYPE(AF48)=2,IF(LEN(AF48)=2,IF(AND($AI$11=0,AJ49="DUBBEL"),"ONGELDIG","GOED"),"ONGELDIG"),"ONGELDIG"))</f>
        <v>GOED</v>
      </c>
      <c r="AM48" s="4" t="str">
        <f>IF(ISBLANK(W48),"LEEG",IF(TYPE(W48)=1,IF(AND(W48&lt;10,W48&gt;=0),IF(W48=ROUND(W48,0),"GOED","ONGELDIG"),"ONGELDIG"),"ONGELDIG"))</f>
        <v>GOED</v>
      </c>
      <c r="AN48" s="4" t="str">
        <f>IF(ISBLANK(Y48),"LEEG",IF(TYPE(Y48)=1,IF(AND(Y48&lt;10,Y48&gt;=0),IF(Y48=ROUND(Y48,0),"GOED","ONGELDIG"),"ONGELDIG"),"ONGELDIG"))</f>
        <v>GOED</v>
      </c>
      <c r="AO48" s="138" t="str">
        <f ca="1">IF(AK48="GOED",IF(AL48="GOED",IF(AM48="GOED",IF(AN48="GOED",AD48&amp;AF48&amp;W48&amp;Y48&amp;"|","FOUT"),"FOUT"),"FOUT"),"FOUT")</f>
        <v>FRGB21|</v>
      </c>
      <c r="AP48" s="91">
        <f ca="1">LEN(AO48)</f>
        <v>7</v>
      </c>
      <c r="AQ48" s="287"/>
      <c r="AR48" s="289" t="s">
        <v>169</v>
      </c>
      <c r="AS48" s="684" t="str">
        <f ca="1">IF(AT48=$AR$11,$AQ$11,IF(AT48=$AR$12,$AQ$12,VLOOKUP(AT48,Voorblad!$X$67:$Z$98,2,FALSE)))</f>
        <v>Turkije</v>
      </c>
      <c r="AT48" s="685" t="str">
        <f t="shared" ca="1" si="5"/>
        <v>F1</v>
      </c>
      <c r="AU48" s="684" t="str">
        <f ca="1">IF(AV48=$AR$11,$AQ$11,IF(AV48=$AR$12,$AQ$12,VLOOKUP(AV48,Voorblad!$X$67:$Z$98,2,FALSE)))</f>
        <v/>
      </c>
      <c r="AV48" s="685" t="str">
        <f t="shared" ca="1" si="6"/>
        <v>??</v>
      </c>
      <c r="AW48" s="684" t="str">
        <f ca="1">IF(AX48=$AR$11,$AQ$11,IF(AX48=$AR$12,$AQ$12,VLOOKUP(AX48,Voorblad!$X$67:$Z$98,2,FALSE)))</f>
        <v/>
      </c>
      <c r="AX48" s="685" t="str">
        <f t="shared" ca="1" si="7"/>
        <v>??</v>
      </c>
      <c r="AY48" s="684" t="str">
        <f ca="1">IF(AZ48=$AR$11,$AQ$11,IF(AZ48=$AR$12,$AQ$12,VLOOKUP(AZ48,Voorblad!$X$67:$Z$98,2,FALSE)))</f>
        <v/>
      </c>
      <c r="AZ48" s="685" t="str">
        <f t="shared" ca="1" si="8"/>
        <v>??</v>
      </c>
      <c r="BA48" s="688">
        <f t="shared" si="11"/>
        <v>40</v>
      </c>
    </row>
    <row r="49" spans="1:55" ht="15" customHeight="1" x14ac:dyDescent="0.25">
      <c r="A49" s="173"/>
      <c r="B49" s="17"/>
      <c r="C49" s="949"/>
      <c r="D49" s="351"/>
      <c r="E49" s="348"/>
      <c r="F49" s="349"/>
      <c r="G49" s="1211" t="str">
        <f ca="1">IF($AB$9=1," "&amp;AC49,IF($AB$9=2,IF(AC48="OO"," "&amp;AC49,""),""))</f>
        <v xml:space="preserve"> Frankrijk</v>
      </c>
      <c r="H49" s="1211"/>
      <c r="I49" s="1211"/>
      <c r="J49" s="1211"/>
      <c r="K49" s="1211"/>
      <c r="L49" s="1211"/>
      <c r="M49" s="16"/>
      <c r="N49" s="16"/>
      <c r="O49" s="1211" t="str">
        <f ca="1">IF($AB$9=1," "&amp;AE49,IF($AB$9=2,IF(AE48="OO"," "&amp;AE49,""),""))</f>
        <v xml:space="preserve"> Engeland</v>
      </c>
      <c r="P49" s="1211"/>
      <c r="Q49" s="1211"/>
      <c r="R49" s="1211"/>
      <c r="S49" s="1211"/>
      <c r="T49" s="1211"/>
      <c r="U49" s="1211"/>
      <c r="V49" s="17"/>
      <c r="W49" s="262"/>
      <c r="X49" s="262"/>
      <c r="Y49" s="262"/>
      <c r="Z49" s="60"/>
      <c r="AA49" s="17"/>
      <c r="AB49" s="850"/>
      <c r="AC49" s="1193" t="str">
        <f ca="1">AM103</f>
        <v>Frankrijk</v>
      </c>
      <c r="AD49" s="1193"/>
      <c r="AE49" s="1193" t="str">
        <f ca="1">AO103</f>
        <v>Engeland</v>
      </c>
      <c r="AF49" s="1193"/>
      <c r="AG49" s="716" t="str">
        <f ca="1">IF(AO48="FOUT","",IF(W48&gt;Y48,AC48,IF(W48&lt;Y48,AE48,AC48&amp;AE48)))</f>
        <v>D4</v>
      </c>
      <c r="AH49" s="415" t="str">
        <f ca="1">IF(AD48="LEEG","LEEG",IF(AD48= "FOUT","ONGELDIG",IF(LEN(SUBSTITUTE(SUBSTITUTE("|"&amp;$AD$46&amp;"|"&amp;$AF$46&amp;"|"&amp;$AD$48&amp;"|"&amp;$AF$48&amp;"|","LEEG","##"),AD48,"CONTROLE"))=$AJ$50,"GOED","DUBBEL")))</f>
        <v>GOED</v>
      </c>
      <c r="AI49" s="5"/>
      <c r="AJ49" s="415" t="str">
        <f ca="1">IF(AF48="LEEG","LEEG",IF(AF48= "FOUT","ONGELDIG",IF(LEN(SUBSTITUTE(SUBSTITUTE("|"&amp;$AD$46&amp;"|"&amp;$AF$46&amp;"|"&amp;$AD$48&amp;"|"&amp;$AF$48&amp;"|","LEEG","##"),AF48,"CONTROLE"))=$AJ$50,"GOED","DUBBEL")))</f>
        <v>GOED</v>
      </c>
      <c r="AK49" s="4"/>
      <c r="AL49" s="4"/>
      <c r="AM49" s="4"/>
      <c r="AN49" s="4"/>
      <c r="AO49" s="138"/>
      <c r="AP49" s="91"/>
      <c r="AQ49" s="291" t="str">
        <f ca="1">VLOOKUP(AR49,Voorblad!$X$67:$Z$98,2,FALSE)</f>
        <v>ZZZ_land_H1</v>
      </c>
      <c r="AR49" s="292" t="str">
        <f>AR48&amp;1</f>
        <v>H1</v>
      </c>
      <c r="AS49" s="684" t="str">
        <f ca="1">IF(AT49=$AR$11,$AQ$11,IF(AT49=$AR$12,$AQ$12,VLOOKUP(AT49,Voorblad!$X$67:$Z$98,2,FALSE)))</f>
        <v>Zwitserland</v>
      </c>
      <c r="AT49" s="685" t="str">
        <f t="shared" ca="1" si="5"/>
        <v>A4</v>
      </c>
      <c r="AU49" s="684" t="str">
        <f ca="1">IF(AV49=$AR$11,$AQ$11,IF(AV49=$AR$12,$AQ$12,VLOOKUP(AV49,Voorblad!$X$67:$Z$98,2,FALSE)))</f>
        <v/>
      </c>
      <c r="AV49" s="685" t="str">
        <f t="shared" ca="1" si="6"/>
        <v>??</v>
      </c>
      <c r="AW49" s="684" t="str">
        <f ca="1">IF(AX49=$AR$11,$AQ$11,IF(AX49=$AR$12,$AQ$12,VLOOKUP(AX49,Voorblad!$X$67:$Z$98,2,FALSE)))</f>
        <v/>
      </c>
      <c r="AX49" s="685" t="str">
        <f t="shared" ca="1" si="7"/>
        <v>??</v>
      </c>
      <c r="AY49" s="684" t="str">
        <f ca="1">IF(AZ49=$AR$11,$AQ$11,IF(AZ49=$AR$12,$AQ$12,VLOOKUP(AZ49,Voorblad!$X$67:$Z$98,2,FALSE)))</f>
        <v/>
      </c>
      <c r="AZ49" s="685" t="str">
        <f t="shared" ca="1" si="8"/>
        <v>??</v>
      </c>
      <c r="BA49" s="689">
        <f t="shared" si="11"/>
        <v>42</v>
      </c>
    </row>
    <row r="50" spans="1:55" ht="24" hidden="1" customHeight="1" x14ac:dyDescent="0.4">
      <c r="A50" s="591" t="str">
        <f>IF(A30="H","","H")</f>
        <v>H</v>
      </c>
      <c r="B50" s="17"/>
      <c r="C50" s="949"/>
      <c r="D50" s="829" t="str">
        <f ca="1">Taal04!$B$30</f>
        <v>Troostfinale</v>
      </c>
      <c r="E50" s="348"/>
      <c r="F50" s="349"/>
      <c r="G50" s="17"/>
      <c r="H50" s="17"/>
      <c r="I50" s="17"/>
      <c r="J50" s="350"/>
      <c r="K50" s="350"/>
      <c r="L50" s="350"/>
      <c r="M50" s="17"/>
      <c r="N50" s="17"/>
      <c r="O50" s="17"/>
      <c r="P50" s="262"/>
      <c r="Q50" s="262"/>
      <c r="R50" s="17"/>
      <c r="S50" s="17"/>
      <c r="T50" s="17"/>
      <c r="U50" s="17"/>
      <c r="V50" s="351"/>
      <c r="W50" s="17"/>
      <c r="X50" s="17"/>
      <c r="Y50" s="176"/>
      <c r="Z50" s="60"/>
      <c r="AA50" s="17"/>
      <c r="AB50" s="850"/>
      <c r="AC50" s="271"/>
      <c r="AD50" s="235"/>
      <c r="AE50" s="271"/>
      <c r="AF50" s="235"/>
      <c r="AG50" s="716" t="str">
        <f ca="1">IF(AO48="FOUT","",IF(W48&lt;Y48,AC48,IF(W48&gt;Y48,AE48,AC48&amp;AE48)))</f>
        <v>C4</v>
      </c>
      <c r="AH50" s="5"/>
      <c r="AI50" s="5"/>
      <c r="AJ50" s="414">
        <f>4*3+1+LEN("CONTROLE")-2</f>
        <v>19</v>
      </c>
      <c r="AK50" s="1235" t="s">
        <v>170</v>
      </c>
      <c r="AL50" s="1235"/>
      <c r="AM50" s="1235"/>
      <c r="AN50" s="1235"/>
      <c r="AO50" s="1235"/>
      <c r="AP50" s="416"/>
      <c r="AQ50" s="291" t="str">
        <f ca="1">VLOOKUP(AR50,Voorblad!$X$67:$Z$98,2,FALSE)</f>
        <v>ZZZ_land_H2</v>
      </c>
      <c r="AR50" s="292" t="str">
        <f>AR48&amp;2</f>
        <v>H2</v>
      </c>
      <c r="AS50" s="682"/>
      <c r="AT50" s="683" t="s">
        <v>2315</v>
      </c>
      <c r="AU50" s="682"/>
      <c r="AV50" s="683" t="s">
        <v>459</v>
      </c>
      <c r="AW50" s="682"/>
      <c r="AX50" s="683" t="s">
        <v>2319</v>
      </c>
      <c r="AY50" s="682"/>
      <c r="AZ50" s="683" t="s">
        <v>2318</v>
      </c>
      <c r="BA50" s="686"/>
    </row>
    <row r="51" spans="1:55" ht="15" hidden="1" customHeight="1" x14ac:dyDescent="0.25">
      <c r="A51" s="591" t="str">
        <f>IF(A31="H","","H")</f>
        <v>H</v>
      </c>
      <c r="B51" s="17"/>
      <c r="C51" s="949"/>
      <c r="D51" s="17"/>
      <c r="E51" s="941" t="str">
        <f ca="1">Taal04!$B$20</f>
        <v>Datum</v>
      </c>
      <c r="F51" s="941" t="str">
        <f ca="1">Taal04!$B$21</f>
        <v>Tijd</v>
      </c>
      <c r="G51" s="1212" t="str">
        <f ca="1">Taal04!$B$22</f>
        <v>Wedstrijd</v>
      </c>
      <c r="H51" s="1212"/>
      <c r="I51" s="1212"/>
      <c r="J51" s="1212"/>
      <c r="K51" s="1212"/>
      <c r="L51" s="1212"/>
      <c r="M51" s="1212"/>
      <c r="N51" s="1212"/>
      <c r="O51" s="1212"/>
      <c r="P51" s="1212"/>
      <c r="Q51" s="1212"/>
      <c r="R51" s="1212"/>
      <c r="S51" s="1212"/>
      <c r="T51" s="1212"/>
      <c r="U51" s="1212"/>
      <c r="V51" s="17"/>
      <c r="W51" s="1233" t="str">
        <f ca="1">Taal04!$B$24</f>
        <v>Eindstand</v>
      </c>
      <c r="X51" s="1234"/>
      <c r="Y51" s="1234"/>
      <c r="Z51" s="60"/>
      <c r="AA51" s="17"/>
      <c r="AB51" s="850"/>
      <c r="AC51" s="235" t="s">
        <v>18</v>
      </c>
      <c r="AD51" s="235" t="s">
        <v>19</v>
      </c>
      <c r="AE51" s="235" t="s">
        <v>18</v>
      </c>
      <c r="AF51" s="235" t="s">
        <v>19</v>
      </c>
      <c r="AG51" s="5"/>
      <c r="AH51" s="10" t="s">
        <v>75</v>
      </c>
      <c r="AI51" s="5"/>
      <c r="AJ51" s="10" t="s">
        <v>75</v>
      </c>
      <c r="AK51" s="382" t="s">
        <v>26</v>
      </c>
      <c r="AL51" s="382" t="s">
        <v>27</v>
      </c>
      <c r="AM51" s="382" t="s">
        <v>24</v>
      </c>
      <c r="AN51" s="382" t="s">
        <v>25</v>
      </c>
      <c r="AO51" s="443" t="s">
        <v>0</v>
      </c>
      <c r="AP51" s="416"/>
      <c r="AQ51" s="291" t="str">
        <f ca="1">VLOOKUP(AR51,Voorblad!$X$67:$Z$98,2,FALSE)</f>
        <v>ZZZ_land_H3</v>
      </c>
      <c r="AR51" s="292" t="str">
        <f>AR48&amp;3</f>
        <v>H3</v>
      </c>
      <c r="AS51" s="684" t="str">
        <f ca="1">IF(AT51=$AR$11,$AQ$11,IF(AT51=$AR$12,$AQ$12,VLOOKUP(AT51,Voorblad!$X$67:$Z$98,2,FALSE)))</f>
        <v>Engeland</v>
      </c>
      <c r="AT51" s="685" t="str">
        <f t="shared" ref="AT51:AT71" ca="1" si="12">RIGHT(LEFT($AK$98,$BA51),2)</f>
        <v>C4</v>
      </c>
      <c r="AU51" s="684" t="str">
        <f ca="1">IF(AV51=$AR$11,$AQ$11,IF(AV51=$AR$12,$AQ$12,VLOOKUP(AV51,Voorblad!$X$67:$Z$98,2,FALSE)))</f>
        <v>Kroatië</v>
      </c>
      <c r="AV51" s="685" t="str">
        <f t="shared" ref="AV51:AV71" ca="1" si="13">RIGHT(LEFT($AL$98,$BA51),2)</f>
        <v>B2</v>
      </c>
      <c r="AW51" s="684" t="str">
        <f ca="1">IF(AX51=$AR$11,$AQ$11,IF(AX51=$AR$12,$AQ$12,VLOOKUP(AX51,Voorblad!$X$67:$Z$98,2,FALSE)))</f>
        <v>België</v>
      </c>
      <c r="AX51" s="685" t="str">
        <f t="shared" ref="AX51:AX71" ca="1" si="14">RIGHT(LEFT($AK$99,$BA51),2)</f>
        <v>E1</v>
      </c>
      <c r="AY51" s="684" t="str">
        <f ca="1">IF(AZ51=$AR$11,$AQ$11,IF(AZ51=$AR$12,$AQ$12,VLOOKUP(AZ51,Voorblad!$X$67:$Z$98,2,FALSE)))</f>
        <v>Frankrijk</v>
      </c>
      <c r="AZ51" s="685" t="str">
        <f t="shared" ref="AZ51:AZ71" ca="1" si="15">RIGHT(LEFT($AL$99,$BA51),2)</f>
        <v>D4</v>
      </c>
      <c r="BA51" s="687">
        <v>2</v>
      </c>
    </row>
    <row r="52" spans="1:55" ht="15" hidden="1" customHeight="1" x14ac:dyDescent="0.25">
      <c r="A52" s="591" t="str">
        <f>IF(A32="H","","H")</f>
        <v>H</v>
      </c>
      <c r="B52" s="17"/>
      <c r="C52" s="949"/>
      <c r="D52" s="438">
        <f>IF(A50="H",D48+25,D48+1)</f>
        <v>75</v>
      </c>
      <c r="E52" s="436">
        <f>E48+3+TIME(0,0,0)</f>
        <v>45486.875</v>
      </c>
      <c r="F52" s="134">
        <f>E52+TIME(0,0,0)</f>
        <v>45486.875</v>
      </c>
      <c r="G52" s="1192" t="str">
        <f ca="1">" "&amp;Taal04!$B$78&amp;" "&amp;D46</f>
        <v xml:space="preserve"> Verl. Wedstrijd 49</v>
      </c>
      <c r="H52" s="1192"/>
      <c r="I52" s="1192"/>
      <c r="J52" s="1192"/>
      <c r="K52" s="1192"/>
      <c r="L52" s="667"/>
      <c r="M52" s="665"/>
      <c r="N52" s="666" t="str">
        <f>IF(AK52="LEEG","▼   ","")&amp;"-  "</f>
        <v xml:space="preserve">-  </v>
      </c>
      <c r="O52" s="1192" t="str">
        <f ca="1">" "&amp;Taal04!$B$78&amp;" "&amp;D48</f>
        <v xml:space="preserve"> Verl. Wedstrijd 50</v>
      </c>
      <c r="P52" s="1192"/>
      <c r="Q52" s="1192"/>
      <c r="R52" s="1192"/>
      <c r="S52" s="1192"/>
      <c r="T52" s="1192"/>
      <c r="U52" s="667"/>
      <c r="V52" s="666" t="str">
        <f>IF(AL52="LEEG","▼   ","")&amp;": "</f>
        <v xml:space="preserve">: </v>
      </c>
      <c r="W52" s="738"/>
      <c r="X52" s="940" t="s">
        <v>12</v>
      </c>
      <c r="Y52" s="738"/>
      <c r="Z52" s="60"/>
      <c r="AA52" s="17"/>
      <c r="AB52" s="851">
        <f>IF(AND(AM52="GOED",AN52="GOED"),W52+Y52,0)</f>
        <v>0</v>
      </c>
      <c r="AC52" s="271" t="str">
        <f>IF(OR(L52="",ISBLANK(L52),L52=$AQ$11),"OO",IF(TYPE(VLOOKUP(L52,Taal02!$C$100:$D$419,2,FALSE))=16,"XX",VLOOKUP(L52,Taal02!$C$100:$D$419,2,FALSE)))</f>
        <v>OO</v>
      </c>
      <c r="AD52" s="235" t="str">
        <f>IF(AC52="OO","LEEG",IF(AC52="XX","FOUT",VLOOKUP(AC52,Voorblad!$X$65:$Z$98,3,FALSE)))</f>
        <v>LEEG</v>
      </c>
      <c r="AE52" s="271" t="str">
        <f>IF(OR(U52="",ISBLANK(U52),U52=$AQ$11),"OO",IF(TYPE(VLOOKUP(U52,Taal02!$C$100:$D$419,2,FALSE))=16,"XX",VLOOKUP(U52,Taal02!$C$100:$D$419,2,FALSE)))</f>
        <v>OO</v>
      </c>
      <c r="AF52" s="235" t="str">
        <f>IF(AE52="OO","LEEG",IF(AE52="XX","FOUT",VLOOKUP(AE52,Voorblad!$X$65:$Z$98,3,FALSE)))</f>
        <v>LEEG</v>
      </c>
      <c r="AG52" s="5"/>
      <c r="AH52" s="363" t="s">
        <v>2298</v>
      </c>
      <c r="AI52" s="10" t="s">
        <v>12</v>
      </c>
      <c r="AJ52" s="363" t="s">
        <v>2298</v>
      </c>
      <c r="AK52" s="4" t="str">
        <f>IF($A52="H","",IF(AD52="LEEG","LEEG",IF(TYPE(AD52)=2,IF(LEN(AD52)=2,IF(AND($AI$11=0,AH53="DUBBEL"),"ONGELDIG","GOED"),"ONGELDIG"),"ONGELDIG")))</f>
        <v/>
      </c>
      <c r="AL52" s="4" t="str">
        <f>IF($A52="H","",IF(AF52="LEEG","LEEG",IF(TYPE(AF52)=2,IF(LEN(AF52)=2,IF(AND($AI$11=0,AJ53="DUBBEL"),"ONGELDIG","GOED"),"ONGELDIG"),"ONGELDIG")))</f>
        <v/>
      </c>
      <c r="AM52" s="382" t="str">
        <f>IF($A52="H","",IF(ISBLANK(W52),"LEEG",IF(TYPE(W52)=1,IF(AND(W52&lt;10,W52&gt;=0),IF(W52=ROUND(W52,0),"GOED","ONGELDIG"),"HOOG"),"ONGELDIG")))</f>
        <v/>
      </c>
      <c r="AN52" s="382" t="str">
        <f>IF($A52="H","",IF(ISBLANK(Y52),"LEEG",IF(TYPE(Y52)=1,IF(AND(Y52&lt;10,Y52&gt;=0),IF(Y52=ROUND(Y52,0),"GOED","ONGELDIG"),"HOOG"),"ONGELDIG")))</f>
        <v/>
      </c>
      <c r="AO52" s="443" t="str">
        <f>IF(AK52="GOED",IF(AL52="GOED",IF(AM52="GOED",IF(AN52="GOED",AD52&amp;AF52&amp;W52&amp;Y52&amp;"|","FOUT"),"FOUT"),"FOUT"),"FOUT")</f>
        <v>FOUT</v>
      </c>
      <c r="AP52" s="91">
        <f>IF(A50="H",0,LEN(AO52))</f>
        <v>0</v>
      </c>
      <c r="AQ52" s="293" t="str">
        <f ca="1">VLOOKUP(AR52,Voorblad!$X$67:$Z$98,2,FALSE)</f>
        <v>ZZZ_land_H4</v>
      </c>
      <c r="AR52" s="295" t="str">
        <f>AR48&amp;4</f>
        <v>H4</v>
      </c>
      <c r="AS52" s="684" t="str">
        <f ca="1">IF(AT52=$AR$11,$AQ$11,IF(AT52=$AR$12,$AQ$12,VLOOKUP(AT52,Voorblad!$X$67:$Z$98,2,FALSE)))</f>
        <v>────────────────</v>
      </c>
      <c r="AT52" s="685" t="str">
        <f t="shared" ca="1" si="12"/>
        <v>&amp;&amp;</v>
      </c>
      <c r="AU52" s="684" t="str">
        <f ca="1">IF(AV52=$AR$11,$AQ$11,IF(AV52=$AR$12,$AQ$12,VLOOKUP(AV52,Voorblad!$X$67:$Z$98,2,FALSE)))</f>
        <v>────────────────</v>
      </c>
      <c r="AV52" s="685" t="str">
        <f t="shared" ca="1" si="13"/>
        <v>&amp;&amp;</v>
      </c>
      <c r="AW52" s="684" t="str">
        <f ca="1">IF(AX52=$AR$11,$AQ$11,IF(AX52=$AR$12,$AQ$12,VLOOKUP(AX52,Voorblad!$X$67:$Z$98,2,FALSE)))</f>
        <v>────────────────</v>
      </c>
      <c r="AX52" s="685" t="str">
        <f t="shared" ca="1" si="14"/>
        <v>&amp;&amp;</v>
      </c>
      <c r="AY52" s="684" t="str">
        <f ca="1">IF(AZ52=$AR$11,$AQ$11,IF(AZ52=$AR$12,$AQ$12,VLOOKUP(AZ52,Voorblad!$X$67:$Z$98,2,FALSE)))</f>
        <v>────────────────</v>
      </c>
      <c r="AZ52" s="685" t="str">
        <f t="shared" ca="1" si="15"/>
        <v>&amp;&amp;</v>
      </c>
      <c r="BA52" s="688">
        <f t="shared" ref="BA52:BA62" si="16">BA51+2</f>
        <v>4</v>
      </c>
    </row>
    <row r="53" spans="1:55" ht="15" hidden="1" customHeight="1" x14ac:dyDescent="0.25">
      <c r="A53" s="591" t="str">
        <f>IF(A33="H","","H")</f>
        <v>H</v>
      </c>
      <c r="B53" s="17"/>
      <c r="C53" s="949"/>
      <c r="D53" s="17"/>
      <c r="E53" s="17"/>
      <c r="F53" s="17"/>
      <c r="G53" s="1211" t="str">
        <f ca="1">IF($AB$9=1," "&amp;AC53,IF($AB$9=2,IF(AC52="OO"," "&amp;AC53,""),""))</f>
        <v xml:space="preserve"> Portugal</v>
      </c>
      <c r="H53" s="1211"/>
      <c r="I53" s="1211"/>
      <c r="J53" s="1211"/>
      <c r="K53" s="1211"/>
      <c r="L53" s="1211"/>
      <c r="M53" s="16"/>
      <c r="N53" s="16"/>
      <c r="O53" s="1211" t="str">
        <f ca="1">IF($AB$9=1," "&amp;AE53,IF($AB$9=2,IF(AE52="OO"," "&amp;AE53,""),""))</f>
        <v xml:space="preserve"> Engeland</v>
      </c>
      <c r="P53" s="1211"/>
      <c r="Q53" s="1211"/>
      <c r="R53" s="1211"/>
      <c r="S53" s="1211"/>
      <c r="T53" s="1211"/>
      <c r="U53" s="1211"/>
      <c r="V53" s="17"/>
      <c r="W53" s="262"/>
      <c r="X53" s="262"/>
      <c r="Y53" s="262"/>
      <c r="Z53" s="60"/>
      <c r="AA53" s="17"/>
      <c r="AB53" s="850"/>
      <c r="AC53" s="1193" t="str">
        <f ca="1">AM106</f>
        <v>Portugal</v>
      </c>
      <c r="AD53" s="1193"/>
      <c r="AE53" s="1193" t="str">
        <f ca="1">AO106</f>
        <v>Engeland</v>
      </c>
      <c r="AF53" s="1193"/>
      <c r="AG53" s="5"/>
      <c r="AH53" s="415" t="str">
        <f>IF(AD52="LEEG","LEEG",IF(AD52= "FOUT","ONGELDIG",IF(LEN(SUBSTITUTE(SUBSTITUTE("|"&amp;$AD$52&amp;"|"&amp;$AF$52&amp;"|"&amp;$AD$56&amp;"|"&amp;$AF$56&amp;"|","LEEG","##"),AD52,"CONTROLE"))=$AJ$58,"GOED","DUBBEL")))</f>
        <v>LEEG</v>
      </c>
      <c r="AI53" s="5"/>
      <c r="AJ53" s="415" t="str">
        <f>IF(AF52="LEEG","LEEG",IF(AF52= "FOUT","ONGELDIG",IF(LEN(SUBSTITUTE(SUBSTITUTE("|"&amp;$AD$52&amp;"|"&amp;$AF$52&amp;"|"&amp;$AD$56&amp;"|"&amp;$AF$56&amp;"|","LEEG","##"),AF52,"CONTROLE"))=$AJ$58,"GOED","DUBBEL")))</f>
        <v>LEEG</v>
      </c>
      <c r="AK53" s="4"/>
      <c r="AL53" s="4"/>
      <c r="AM53" s="4"/>
      <c r="AN53" s="4"/>
      <c r="AO53" s="1"/>
      <c r="AP53" s="91"/>
      <c r="AQ53" s="676"/>
      <c r="AR53" s="677"/>
      <c r="AS53" s="684" t="str">
        <f ca="1">IF(AT53=$AR$11,$AQ$11,IF(AT53=$AR$12,$AQ$12,VLOOKUP(AT53,Voorblad!$X$67:$Z$98,2,FALSE)))</f>
        <v>België</v>
      </c>
      <c r="AT53" s="685" t="str">
        <f t="shared" ca="1" si="12"/>
        <v>E1</v>
      </c>
      <c r="AU53" s="684" t="str">
        <f ca="1">IF(AV53=$AR$11,$AQ$11,IF(AV53=$AR$12,$AQ$12,VLOOKUP(AV53,Voorblad!$X$67:$Z$98,2,FALSE)))</f>
        <v>Albanië</v>
      </c>
      <c r="AV53" s="685" t="str">
        <f t="shared" ca="1" si="13"/>
        <v>B4</v>
      </c>
      <c r="AW53" s="684" t="str">
        <f ca="1">IF(AX53=$AR$11,$AQ$11,IF(AX53=$AR$12,$AQ$12,VLOOKUP(AX53,Voorblad!$X$67:$Z$98,2,FALSE)))</f>
        <v>Albanië</v>
      </c>
      <c r="AX53" s="685" t="str">
        <f t="shared" ca="1" si="14"/>
        <v>B4</v>
      </c>
      <c r="AY53" s="684" t="str">
        <f ca="1">IF(AZ53=$AR$11,$AQ$11,IF(AZ53=$AR$12,$AQ$12,VLOOKUP(AZ53,Voorblad!$X$67:$Z$98,2,FALSE)))</f>
        <v>Georgië</v>
      </c>
      <c r="AZ53" s="685" t="str">
        <f t="shared" ca="1" si="15"/>
        <v>F2</v>
      </c>
      <c r="BA53" s="688">
        <f t="shared" si="16"/>
        <v>6</v>
      </c>
      <c r="BC53" s="574" t="s">
        <v>1878</v>
      </c>
    </row>
    <row r="54" spans="1:55" ht="24" customHeight="1" x14ac:dyDescent="0.4">
      <c r="B54" s="17"/>
      <c r="C54" s="949"/>
      <c r="D54" s="828" t="str">
        <f ca="1">Taal04!$B$31</f>
        <v>Finale</v>
      </c>
      <c r="E54" s="348"/>
      <c r="F54" s="349"/>
      <c r="G54" s="17"/>
      <c r="H54" s="17"/>
      <c r="I54" s="17"/>
      <c r="J54" s="350"/>
      <c r="K54" s="350"/>
      <c r="L54" s="350"/>
      <c r="M54" s="17"/>
      <c r="N54" s="17"/>
      <c r="O54" s="17"/>
      <c r="P54" s="262"/>
      <c r="Q54" s="262"/>
      <c r="R54" s="17"/>
      <c r="S54" s="17"/>
      <c r="T54" s="17"/>
      <c r="U54" s="17"/>
      <c r="V54" s="351"/>
      <c r="W54" s="17"/>
      <c r="X54" s="17"/>
      <c r="Y54" s="176"/>
      <c r="Z54" s="60"/>
      <c r="AA54" s="17"/>
      <c r="AB54" s="850"/>
      <c r="AC54" s="10"/>
      <c r="AD54" s="5"/>
      <c r="AE54" s="10"/>
      <c r="AF54" s="10"/>
      <c r="AG54" s="5"/>
      <c r="AH54" s="5"/>
      <c r="AI54" s="5"/>
      <c r="AJ54" s="5"/>
      <c r="AK54" s="1195" t="s">
        <v>21</v>
      </c>
      <c r="AL54" s="1195"/>
      <c r="AM54" s="1195"/>
      <c r="AN54" s="1195"/>
      <c r="AO54" s="1195"/>
      <c r="AP54" s="91"/>
      <c r="AQ54" s="674"/>
      <c r="AR54" s="678"/>
      <c r="AS54" s="684" t="str">
        <f ca="1">IF(AT54=$AR$11,$AQ$11,IF(AT54=$AR$12,$AQ$12,VLOOKUP(AT54,Voorblad!$X$67:$Z$98,2,FALSE)))</f>
        <v>Denemarken</v>
      </c>
      <c r="AT54" s="685" t="str">
        <f t="shared" ca="1" si="12"/>
        <v>C2</v>
      </c>
      <c r="AU54" s="684" t="str">
        <f ca="1">IF(AV54=$AR$11,$AQ$11,IF(AV54=$AR$12,$AQ$12,VLOOKUP(AV54,Voorblad!$X$67:$Z$98,2,FALSE)))</f>
        <v>Duitsland</v>
      </c>
      <c r="AV54" s="685" t="str">
        <f t="shared" ca="1" si="13"/>
        <v>A1</v>
      </c>
      <c r="AW54" s="684" t="str">
        <f ca="1">IF(AX54=$AR$11,$AQ$11,IF(AX54=$AR$12,$AQ$12,VLOOKUP(AX54,Voorblad!$X$67:$Z$98,2,FALSE)))</f>
        <v>Denemarken</v>
      </c>
      <c r="AX54" s="685" t="str">
        <f t="shared" ca="1" si="14"/>
        <v>C2</v>
      </c>
      <c r="AY54" s="684" t="str">
        <f ca="1">IF(AZ54=$AR$11,$AQ$11,IF(AZ54=$AR$12,$AQ$12,VLOOKUP(AZ54,Voorblad!$X$67:$Z$98,2,FALSE)))</f>
        <v>Nederland</v>
      </c>
      <c r="AZ54" s="685" t="str">
        <f t="shared" ca="1" si="15"/>
        <v>D2</v>
      </c>
      <c r="BA54" s="688">
        <f t="shared" si="16"/>
        <v>8</v>
      </c>
    </row>
    <row r="55" spans="1:55" ht="15" customHeight="1" x14ac:dyDescent="0.25">
      <c r="A55" s="173"/>
      <c r="B55" s="17"/>
      <c r="C55" s="949"/>
      <c r="D55" s="17"/>
      <c r="E55" s="941" t="str">
        <f ca="1">Taal04!$B$20</f>
        <v>Datum</v>
      </c>
      <c r="F55" s="941" t="str">
        <f ca="1">Taal04!$B$21</f>
        <v>Tijd</v>
      </c>
      <c r="G55" s="1212" t="str">
        <f ca="1">Taal04!$B$22</f>
        <v>Wedstrijd</v>
      </c>
      <c r="H55" s="1212"/>
      <c r="I55" s="1212"/>
      <c r="J55" s="1212"/>
      <c r="K55" s="1212"/>
      <c r="L55" s="1212"/>
      <c r="M55" s="1212"/>
      <c r="N55" s="1212"/>
      <c r="O55" s="1212"/>
      <c r="P55" s="1212"/>
      <c r="Q55" s="1212"/>
      <c r="R55" s="1212"/>
      <c r="S55" s="1212"/>
      <c r="T55" s="1212"/>
      <c r="U55" s="1212"/>
      <c r="V55" s="17"/>
      <c r="W55" s="1233" t="str">
        <f ca="1">Taal04!$B$24</f>
        <v>Eindstand</v>
      </c>
      <c r="X55" s="1234"/>
      <c r="Y55" s="1234"/>
      <c r="Z55" s="60"/>
      <c r="AA55" s="17"/>
      <c r="AB55" s="850"/>
      <c r="AC55" s="235" t="s">
        <v>18</v>
      </c>
      <c r="AD55" s="235" t="s">
        <v>19</v>
      </c>
      <c r="AE55" s="235" t="s">
        <v>18</v>
      </c>
      <c r="AF55" s="235" t="s">
        <v>19</v>
      </c>
      <c r="AG55" s="5"/>
      <c r="AH55" s="10" t="s">
        <v>75</v>
      </c>
      <c r="AI55" s="5"/>
      <c r="AJ55" s="10" t="s">
        <v>75</v>
      </c>
      <c r="AK55" s="4" t="s">
        <v>26</v>
      </c>
      <c r="AL55" s="4" t="s">
        <v>27</v>
      </c>
      <c r="AM55" s="4" t="s">
        <v>24</v>
      </c>
      <c r="AN55" s="4" t="s">
        <v>25</v>
      </c>
      <c r="AO55" s="138" t="s">
        <v>0</v>
      </c>
      <c r="AP55" s="91"/>
      <c r="AQ55" s="674"/>
      <c r="AR55" s="678"/>
      <c r="AS55" s="684" t="str">
        <f ca="1">IF(AT55=$AR$11,$AQ$11,IF(AT55=$AR$12,$AQ$12,VLOOKUP(AT55,Voorblad!$X$67:$Z$98,2,FALSE)))</f>
        <v>Frankrijk</v>
      </c>
      <c r="AT55" s="685" t="str">
        <f t="shared" ca="1" si="12"/>
        <v>D4</v>
      </c>
      <c r="AU55" s="684" t="str">
        <f ca="1">IF(AV55=$AR$11,$AQ$11,IF(AV55=$AR$12,$AQ$12,VLOOKUP(AV55,Voorblad!$X$67:$Z$98,2,FALSE)))</f>
        <v>Hongarije</v>
      </c>
      <c r="AV55" s="685" t="str">
        <f t="shared" ca="1" si="13"/>
        <v>A3</v>
      </c>
      <c r="AW55" s="684" t="str">
        <f ca="1">IF(AX55=$AR$11,$AQ$11,IF(AX55=$AR$12,$AQ$12,VLOOKUP(AX55,Voorblad!$X$67:$Z$98,2,FALSE)))</f>
        <v>Duitsland</v>
      </c>
      <c r="AX55" s="685" t="str">
        <f t="shared" ca="1" si="14"/>
        <v>A1</v>
      </c>
      <c r="AY55" s="684" t="str">
        <f ca="1">IF(AZ55=$AR$11,$AQ$11,IF(AZ55=$AR$12,$AQ$12,VLOOKUP(AZ55,Voorblad!$X$67:$Z$98,2,FALSE)))</f>
        <v>Oostenrijk</v>
      </c>
      <c r="AZ55" s="685" t="str">
        <f t="shared" ca="1" si="15"/>
        <v>D3</v>
      </c>
      <c r="BA55" s="688">
        <f t="shared" si="16"/>
        <v>10</v>
      </c>
    </row>
    <row r="56" spans="1:55" ht="15" customHeight="1" x14ac:dyDescent="0.25">
      <c r="A56" s="173"/>
      <c r="B56" s="17"/>
      <c r="C56" s="949"/>
      <c r="D56" s="6">
        <f>IF(A50="H",D48+1,D52+1)</f>
        <v>51</v>
      </c>
      <c r="E56" s="436">
        <f>E52+1</f>
        <v>45487.875</v>
      </c>
      <c r="F56" s="134">
        <f>E56+TIME(0,0,0)</f>
        <v>45487.875</v>
      </c>
      <c r="G56" s="1192" t="str">
        <f ca="1">" "&amp;Taal04!$B$77&amp;" "&amp;D46</f>
        <v xml:space="preserve"> Win. Wedstrijd 49</v>
      </c>
      <c r="H56" s="1192"/>
      <c r="I56" s="1192"/>
      <c r="J56" s="1192"/>
      <c r="K56" s="1192"/>
      <c r="L56" s="667" t="s">
        <v>1</v>
      </c>
      <c r="M56" s="665"/>
      <c r="N56" s="666" t="str">
        <f ca="1">IF(AK56="LEEG","▼   ","")&amp;"-  "</f>
        <v xml:space="preserve">-  </v>
      </c>
      <c r="O56" s="1192" t="str">
        <f ca="1">" "&amp;Taal04!$B$77&amp;" "&amp;D48</f>
        <v xml:space="preserve"> Win. Wedstrijd 50</v>
      </c>
      <c r="P56" s="1192"/>
      <c r="Q56" s="1192"/>
      <c r="R56" s="1192"/>
      <c r="S56" s="1192"/>
      <c r="T56" s="1192"/>
      <c r="U56" s="667" t="s">
        <v>465</v>
      </c>
      <c r="V56" s="666" t="str">
        <f ca="1">IF(AL56="LEEG","▼   ","")&amp;": "</f>
        <v xml:space="preserve">: </v>
      </c>
      <c r="W56" s="738">
        <v>1</v>
      </c>
      <c r="X56" s="940" t="s">
        <v>12</v>
      </c>
      <c r="Y56" s="738">
        <v>1</v>
      </c>
      <c r="Z56" s="60"/>
      <c r="AA56" s="17"/>
      <c r="AB56" s="851">
        <f>IF(AND(AM56="GOED",AN56="GOED"),W56+Y56,0)</f>
        <v>2</v>
      </c>
      <c r="AC56" s="271" t="str">
        <f ca="1">IF(OR(L56="",ISBLANK(L56),L56=$AQ$11),"OO",IF(TYPE(VLOOKUP(L56,Taal02!$C$100:$D$419,2,FALSE))=16,"XX",VLOOKUP(L56,Taal02!$C$100:$D$419,2,FALSE)))</f>
        <v>A1</v>
      </c>
      <c r="AD56" s="235" t="str">
        <f ca="1">IF(AC56="OO","LEEG",IF(AC56="XX","FOUT",VLOOKUP(AC56,Voorblad!$X$65:$Z$98,3,FALSE)))</f>
        <v>DE</v>
      </c>
      <c r="AE56" s="271" t="str">
        <f ca="1">IF(OR(U56="",ISBLANK(U56),U56=$AQ$11),"OO",IF(TYPE(VLOOKUP(U56,Taal02!$C$100:$D$419,2,FALSE))=16,"XX",VLOOKUP(U56,Taal02!$C$100:$D$419,2,FALSE)))</f>
        <v>D4</v>
      </c>
      <c r="AF56" s="235" t="str">
        <f ca="1">IF(AE56="OO","LEEG",IF(AE56="XX","FOUT",VLOOKUP(AE56,Voorblad!$X$65:$Z$98,3,FALSE)))</f>
        <v>FR</v>
      </c>
      <c r="AG56" s="5"/>
      <c r="AH56" s="363" t="s">
        <v>2298</v>
      </c>
      <c r="AI56" s="10" t="s">
        <v>12</v>
      </c>
      <c r="AJ56" s="363" t="s">
        <v>2298</v>
      </c>
      <c r="AK56" s="4" t="str">
        <f ca="1">IF(AD56="LEEG","LEEG",IF(TYPE(AD56)=2,IF(LEN(AD56)=2,IF(AND($AI$11=0,AH57="DUBBEL"),"ONGELDIG","GOED"),"ONGELDIG"),"ONGELDIG"))</f>
        <v>GOED</v>
      </c>
      <c r="AL56" s="4" t="str">
        <f ca="1">IF(AF56="LEEG","LEEG",IF(TYPE(AF56)=2,IF(LEN(AF56)=2,IF(AND($AI$11=0,AJ57="DUBBEL"),"ONGELDIG","GOED"),"ONGELDIG"),"ONGELDIG"))</f>
        <v>GOED</v>
      </c>
      <c r="AM56" s="4" t="str">
        <f>IF(ISBLANK(W56),"LEEG",IF(TYPE(W56)=1,IF(AND(W56&lt;10,W56&gt;=0),IF(W56=ROUND(W56,0),"GOED","ONGELDIG"),"ONGELDIG"),"ONGELDIG"))</f>
        <v>GOED</v>
      </c>
      <c r="AN56" s="4" t="str">
        <f>IF(ISBLANK(Y56),"LEEG",IF(TYPE(Y56)=1,IF(AND(Y56&lt;10,Y56&gt;=0),IF(Y56=ROUND(Y56,0),"GOED","ONGELDIG"),"ONGELDIG"),"ONGELDIG"))</f>
        <v>GOED</v>
      </c>
      <c r="AO56" s="138" t="str">
        <f ca="1">IF(AK56="GOED",IF(AL56="GOED",IF(AM56="GOED",IF(AN56="GOED",AD56&amp;AF56&amp;W56&amp;Y56&amp;"|","FOUT"),"FOUT"),"FOUT"),"FOUT")</f>
        <v>DEFR11|</v>
      </c>
      <c r="AP56" s="91">
        <f ca="1">LEN(AO56)</f>
        <v>7</v>
      </c>
      <c r="AQ56" s="674"/>
      <c r="AR56" s="678"/>
      <c r="AS56" s="684" t="str">
        <f ca="1">IF(AT56=$AR$11,$AQ$11,IF(AT56=$AR$12,$AQ$12,VLOOKUP(AT56,Voorblad!$X$67:$Z$98,2,FALSE)))</f>
        <v>Georgië</v>
      </c>
      <c r="AT56" s="685" t="str">
        <f t="shared" ca="1" si="12"/>
        <v>F2</v>
      </c>
      <c r="AU56" s="684" t="str">
        <f ca="1">IF(AV56=$AR$11,$AQ$11,IF(AV56=$AR$12,$AQ$12,VLOOKUP(AV56,Voorblad!$X$67:$Z$98,2,FALSE)))</f>
        <v>Italië</v>
      </c>
      <c r="AV56" s="685" t="str">
        <f t="shared" ca="1" si="13"/>
        <v>B3</v>
      </c>
      <c r="AW56" s="684" t="str">
        <f ca="1">IF(AX56=$AR$11,$AQ$11,IF(AX56=$AR$12,$AQ$12,VLOOKUP(AX56,Voorblad!$X$67:$Z$98,2,FALSE)))</f>
        <v>Engeland</v>
      </c>
      <c r="AX56" s="685" t="str">
        <f t="shared" ca="1" si="14"/>
        <v>C4</v>
      </c>
      <c r="AY56" s="684" t="str">
        <f ca="1">IF(AZ56=$AR$11,$AQ$11,IF(AZ56=$AR$12,$AQ$12,VLOOKUP(AZ56,Voorblad!$X$67:$Z$98,2,FALSE)))</f>
        <v>Polen</v>
      </c>
      <c r="AZ56" s="685" t="str">
        <f t="shared" ca="1" si="15"/>
        <v>D1</v>
      </c>
      <c r="BA56" s="688">
        <f t="shared" si="16"/>
        <v>12</v>
      </c>
    </row>
    <row r="57" spans="1:55" ht="15" customHeight="1" x14ac:dyDescent="0.25">
      <c r="A57" s="173"/>
      <c r="B57" s="17"/>
      <c r="C57" s="949"/>
      <c r="D57" s="17"/>
      <c r="E57" s="17"/>
      <c r="F57" s="17"/>
      <c r="G57" s="1211" t="str">
        <f ca="1">IF($AB$9=1," "&amp;AC57,IF($AB$9=2,IF(AC56="OO"," "&amp;AC57,""),""))</f>
        <v xml:space="preserve"> Duitsland</v>
      </c>
      <c r="H57" s="1211"/>
      <c r="I57" s="1211"/>
      <c r="J57" s="1211"/>
      <c r="K57" s="1211"/>
      <c r="L57" s="1211"/>
      <c r="M57" s="16"/>
      <c r="N57" s="16"/>
      <c r="O57" s="1211" t="str">
        <f ca="1">IF($AB$9=1," "&amp;AE57,IF($AB$9=2,IF(AE56="OO"," "&amp;AE57,""),""))</f>
        <v xml:space="preserve"> Frankrijk</v>
      </c>
      <c r="P57" s="1211"/>
      <c r="Q57" s="1211"/>
      <c r="R57" s="1211"/>
      <c r="S57" s="1211"/>
      <c r="T57" s="1211"/>
      <c r="U57" s="1211"/>
      <c r="V57" s="17"/>
      <c r="W57" s="17"/>
      <c r="X57" s="17"/>
      <c r="Y57" s="17"/>
      <c r="Z57" s="60"/>
      <c r="AA57" s="17"/>
      <c r="AB57" s="1240" t="s">
        <v>1908</v>
      </c>
      <c r="AC57" s="1209" t="str">
        <f ca="1">AM109</f>
        <v>Duitsland</v>
      </c>
      <c r="AD57" s="1209"/>
      <c r="AE57" s="1209" t="str">
        <f ca="1">AO109</f>
        <v>Frankrijk</v>
      </c>
      <c r="AF57" s="1209"/>
      <c r="AG57" s="716" t="str">
        <f ca="1">IF(AO56="FOUT","",IF(W56&gt;Y56,AC56,IF(W56&lt;Y56,AE56,AC56&amp;AE56)))</f>
        <v>A1D4</v>
      </c>
      <c r="AH57" s="415" t="str">
        <f ca="1">IF(AD56="LEEG","LEEG",IF(AD56= "FOUT","ONGELDIG",IF(LEN(SUBSTITUTE(SUBSTITUTE("|"&amp;$AD$52&amp;"|"&amp;$AF$52&amp;"|"&amp;$AD$56&amp;"|"&amp;$AF$56&amp;"|","LEEG","##"),AD56,"CONTROLE"))=$AJ$58,"GOED","DUBBEL")))</f>
        <v>GOED</v>
      </c>
      <c r="AI57" s="5"/>
      <c r="AJ57" s="415" t="str">
        <f ca="1">IF(AF56="LEEG","LEEG",IF(AF56= "FOUT","ONGELDIG",IF(LEN(SUBSTITUTE(SUBSTITUTE("|"&amp;$AD$52&amp;"|"&amp;$AF$52&amp;"|"&amp;$AD$56&amp;"|"&amp;$AF$56&amp;"|","LEEG","##"),AF56,"CONTROLE"))=$AJ$58,"GOED","DUBBEL")))</f>
        <v>GOED</v>
      </c>
      <c r="AK57" s="4"/>
      <c r="AL57" s="4"/>
      <c r="AM57" s="4"/>
      <c r="AN57" s="4"/>
      <c r="AO57" s="1"/>
      <c r="AP57" s="91"/>
      <c r="AQ57" s="674"/>
      <c r="AR57" s="678"/>
      <c r="AS57" s="684" t="str">
        <f ca="1">IF(AT57=$AR$11,$AQ$11,IF(AT57=$AR$12,$AQ$12,VLOOKUP(AT57,Voorblad!$X$67:$Z$98,2,FALSE)))</f>
        <v>Nederland</v>
      </c>
      <c r="AT57" s="685" t="str">
        <f t="shared" ca="1" si="12"/>
        <v>D2</v>
      </c>
      <c r="AU57" s="684" t="str">
        <f ca="1">IF(AV57=$AR$11,$AQ$11,IF(AV57=$AR$12,$AQ$12,VLOOKUP(AV57,Voorblad!$X$67:$Z$98,2,FALSE)))</f>
        <v>Schotland</v>
      </c>
      <c r="AV57" s="685" t="str">
        <f t="shared" ca="1" si="13"/>
        <v>A2</v>
      </c>
      <c r="AW57" s="684" t="str">
        <f ca="1">IF(AX57=$AR$11,$AQ$11,IF(AX57=$AR$12,$AQ$12,VLOOKUP(AX57,Voorblad!$X$67:$Z$98,2,FALSE)))</f>
        <v>Frankrijk</v>
      </c>
      <c r="AX57" s="685" t="str">
        <f t="shared" ca="1" si="14"/>
        <v>D4</v>
      </c>
      <c r="AY57" s="684" t="str">
        <f ca="1">IF(AZ57=$AR$11,$AQ$11,IF(AZ57=$AR$12,$AQ$12,VLOOKUP(AZ57,Voorblad!$X$67:$Z$98,2,FALSE)))</f>
        <v>Portugal</v>
      </c>
      <c r="AZ57" s="685" t="str">
        <f t="shared" ca="1" si="15"/>
        <v>F3</v>
      </c>
      <c r="BA57" s="688">
        <f t="shared" si="16"/>
        <v>14</v>
      </c>
    </row>
    <row r="58" spans="1:55" ht="12" customHeight="1" x14ac:dyDescent="0.25">
      <c r="A58" s="173"/>
      <c r="B58" s="17"/>
      <c r="C58" s="949"/>
      <c r="D58" s="17"/>
      <c r="E58" s="17"/>
      <c r="F58" s="17"/>
      <c r="G58" s="177"/>
      <c r="H58" s="352"/>
      <c r="I58" s="352"/>
      <c r="J58" s="352"/>
      <c r="K58" s="352"/>
      <c r="L58" s="352"/>
      <c r="M58" s="352"/>
      <c r="N58" s="352"/>
      <c r="O58" s="352"/>
      <c r="P58" s="352"/>
      <c r="Q58" s="352"/>
      <c r="R58" s="352"/>
      <c r="S58" s="352"/>
      <c r="T58" s="352"/>
      <c r="U58" s="352"/>
      <c r="V58" s="352"/>
      <c r="W58" s="352"/>
      <c r="X58" s="17"/>
      <c r="Y58" s="17"/>
      <c r="Z58" s="60"/>
      <c r="AA58" s="17"/>
      <c r="AB58" s="1240"/>
      <c r="AC58" s="271"/>
      <c r="AD58" s="235"/>
      <c r="AE58" s="271"/>
      <c r="AF58" s="235"/>
      <c r="AG58" s="5"/>
      <c r="AH58" s="5"/>
      <c r="AI58" s="5"/>
      <c r="AJ58" s="414">
        <f>4*3+1+LEN("CONTROLE")-2</f>
        <v>19</v>
      </c>
      <c r="AK58" s="4"/>
      <c r="AL58" s="4"/>
      <c r="AM58" s="4"/>
      <c r="AN58" s="4"/>
      <c r="AO58" s="1"/>
      <c r="AP58" s="91"/>
      <c r="AQ58" s="674"/>
      <c r="AR58" s="678"/>
      <c r="AS58" s="684" t="str">
        <f ca="1">IF(AT58=$AR$11,$AQ$11,IF(AT58=$AR$12,$AQ$12,VLOOKUP(AT58,Voorblad!$X$67:$Z$98,2,FALSE)))</f>
        <v>Oekraïne</v>
      </c>
      <c r="AT58" s="685" t="str">
        <f t="shared" ca="1" si="12"/>
        <v>E4</v>
      </c>
      <c r="AU58" s="684" t="str">
        <f ca="1">IF(AV58=$AR$11,$AQ$11,IF(AV58=$AR$12,$AQ$12,VLOOKUP(AV58,Voorblad!$X$67:$Z$98,2,FALSE)))</f>
        <v>Spanje</v>
      </c>
      <c r="AV58" s="685" t="str">
        <f t="shared" ca="1" si="13"/>
        <v>B1</v>
      </c>
      <c r="AW58" s="684" t="str">
        <f ca="1">IF(AX58=$AR$11,$AQ$11,IF(AX58=$AR$12,$AQ$12,VLOOKUP(AX58,Voorblad!$X$67:$Z$98,2,FALSE)))</f>
        <v>Hongarije</v>
      </c>
      <c r="AX58" s="685" t="str">
        <f t="shared" ca="1" si="14"/>
        <v>A3</v>
      </c>
      <c r="AY58" s="684" t="str">
        <f ca="1">IF(AZ58=$AR$11,$AQ$11,IF(AZ58=$AR$12,$AQ$12,VLOOKUP(AZ58,Voorblad!$X$67:$Z$98,2,FALSE)))</f>
        <v>Tsjechië</v>
      </c>
      <c r="AZ58" s="685" t="str">
        <f t="shared" ca="1" si="15"/>
        <v>F4</v>
      </c>
      <c r="BA58" s="688">
        <f t="shared" si="16"/>
        <v>16</v>
      </c>
    </row>
    <row r="59" spans="1:55" ht="26.25" customHeight="1" x14ac:dyDescent="0.4">
      <c r="A59" s="173"/>
      <c r="B59" s="17"/>
      <c r="C59" s="949"/>
      <c r="D59" s="140">
        <v>65</v>
      </c>
      <c r="E59" s="17"/>
      <c r="F59" s="17"/>
      <c r="G59" s="15"/>
      <c r="H59" s="15"/>
      <c r="I59" s="826"/>
      <c r="J59" s="827"/>
      <c r="K59" s="827"/>
      <c r="L59" s="991" t="str">
        <f ca="1">Taal04!$B$32</f>
        <v>Europees kampioen</v>
      </c>
      <c r="M59" s="827" t="s">
        <v>16</v>
      </c>
      <c r="N59" s="827"/>
      <c r="O59" s="1194" t="s">
        <v>465</v>
      </c>
      <c r="P59" s="1194"/>
      <c r="Q59" s="1194"/>
      <c r="R59" s="1194"/>
      <c r="S59" s="1194"/>
      <c r="T59" s="1194"/>
      <c r="U59" s="1194"/>
      <c r="V59" s="726"/>
      <c r="W59" s="17"/>
      <c r="X59" s="17"/>
      <c r="Y59" s="17"/>
      <c r="Z59" s="60"/>
      <c r="AA59" s="17"/>
      <c r="AB59" s="1240"/>
      <c r="AC59" s="5"/>
      <c r="AD59" s="13"/>
      <c r="AE59" s="271" t="str">
        <f ca="1">IF(OR(O59="",ISBLANK(O59),O59=$AQ$11),"OO",IF(TYPE(VLOOKUP(O59,Taal02!$C$100:$D$419,2,FALSE))=16,"XX",VLOOKUP(O59,Taal02!$C$100:$D$419,2,FALSE)))</f>
        <v>D4</v>
      </c>
      <c r="AF59" s="235" t="str">
        <f ca="1">IF(AE59="OO","LEEG",IF(AE59="XX","FOUT",VLOOKUP(AE59,Voorblad!$X$65:$Z$98,3,FALSE)))</f>
        <v>FR</v>
      </c>
      <c r="AG59" s="5"/>
      <c r="AH59" s="363" t="s">
        <v>2298</v>
      </c>
      <c r="AI59" s="5"/>
      <c r="AJ59" s="5"/>
      <c r="AK59" s="1"/>
      <c r="AL59" s="4" t="str">
        <f ca="1">IF(AF59="LEEG","LEEG",IF(TYPE(AF59)=2,IF(LEN(AF59)=2,"GOED","ONGELDIG"),"ONGELDIG"))</f>
        <v>GOED</v>
      </c>
      <c r="AM59" s="1"/>
      <c r="AN59" s="1"/>
      <c r="AO59" s="138" t="str">
        <f ca="1">IF(AL59="GOED",AF59&amp;"|","FOUT")</f>
        <v>FR|</v>
      </c>
      <c r="AP59" s="91">
        <f ca="1">LEN(AO59)</f>
        <v>3</v>
      </c>
      <c r="AQ59" s="674"/>
      <c r="AR59" s="678"/>
      <c r="AS59" s="684" t="str">
        <f ca="1">IF(AT59=$AR$11,$AQ$11,IF(AT59=$AR$12,$AQ$12,VLOOKUP(AT59,Voorblad!$X$67:$Z$98,2,FALSE)))</f>
        <v>Oostenrijk</v>
      </c>
      <c r="AT59" s="685" t="str">
        <f t="shared" ca="1" si="12"/>
        <v>D3</v>
      </c>
      <c r="AU59" s="684" t="str">
        <f ca="1">IF(AV59=$AR$11,$AQ$11,IF(AV59=$AR$12,$AQ$12,VLOOKUP(AV59,Voorblad!$X$67:$Z$98,2,FALSE)))</f>
        <v>Zwitserland</v>
      </c>
      <c r="AV59" s="685" t="str">
        <f t="shared" ca="1" si="13"/>
        <v>A4</v>
      </c>
      <c r="AW59" s="684" t="str">
        <f ca="1">IF(AX59=$AR$11,$AQ$11,IF(AX59=$AR$12,$AQ$12,VLOOKUP(AX59,Voorblad!$X$67:$Z$98,2,FALSE)))</f>
        <v>Italië</v>
      </c>
      <c r="AX59" s="685" t="str">
        <f t="shared" ca="1" si="14"/>
        <v>B3</v>
      </c>
      <c r="AY59" s="684" t="str">
        <f ca="1">IF(AZ59=$AR$11,$AQ$11,IF(AZ59=$AR$12,$AQ$12,VLOOKUP(AZ59,Voorblad!$X$67:$Z$98,2,FALSE)))</f>
        <v>Turkije</v>
      </c>
      <c r="AZ59" s="685" t="str">
        <f t="shared" ca="1" si="15"/>
        <v>F1</v>
      </c>
      <c r="BA59" s="688">
        <f t="shared" si="16"/>
        <v>18</v>
      </c>
    </row>
    <row r="60" spans="1:55" ht="15" customHeight="1" x14ac:dyDescent="0.25">
      <c r="A60" s="173"/>
      <c r="B60" s="17"/>
      <c r="C60" s="949"/>
      <c r="D60" s="17"/>
      <c r="E60" s="17"/>
      <c r="F60" s="17"/>
      <c r="G60" s="17"/>
      <c r="H60" s="17"/>
      <c r="I60" s="17"/>
      <c r="J60" s="17"/>
      <c r="K60" s="17"/>
      <c r="L60" s="17"/>
      <c r="M60" s="17"/>
      <c r="N60" s="17"/>
      <c r="O60" s="1236" t="str">
        <f ca="1">IF($AB$9=1," "&amp;AE60,IF($AB$9=2,IF(AE59="OO"," "&amp;AE60,""),""))</f>
        <v xml:space="preserve"> Duitsland / Frankrijk</v>
      </c>
      <c r="P60" s="1236"/>
      <c r="Q60" s="1236"/>
      <c r="R60" s="1236"/>
      <c r="S60" s="1236"/>
      <c r="T60" s="1236"/>
      <c r="U60" s="1236"/>
      <c r="V60" s="17"/>
      <c r="W60" s="17"/>
      <c r="X60" s="17"/>
      <c r="Y60" s="17"/>
      <c r="Z60" s="60"/>
      <c r="AA60" s="17"/>
      <c r="AB60" s="1240"/>
      <c r="AC60" s="10"/>
      <c r="AD60" s="5"/>
      <c r="AE60" s="1209" t="str">
        <f ca="1">AM112</f>
        <v>Duitsland / Frankrijk</v>
      </c>
      <c r="AF60" s="1209"/>
      <c r="AG60" s="5"/>
      <c r="AH60" s="5"/>
      <c r="AI60" s="5"/>
      <c r="AJ60" s="5"/>
      <c r="AK60" s="1"/>
      <c r="AL60" s="1"/>
      <c r="AM60" s="1"/>
      <c r="AN60" s="1"/>
      <c r="AO60" s="1"/>
      <c r="AP60" s="91"/>
      <c r="AQ60" s="674"/>
      <c r="AR60" s="678"/>
      <c r="AS60" s="684" t="str">
        <f ca="1">IF(AT60=$AR$11,$AQ$11,IF(AT60=$AR$12,$AQ$12,VLOOKUP(AT60,Voorblad!$X$67:$Z$98,2,FALSE)))</f>
        <v>Polen</v>
      </c>
      <c r="AT60" s="685" t="str">
        <f t="shared" ca="1" si="12"/>
        <v>D1</v>
      </c>
      <c r="AU60" s="684" t="str">
        <f ca="1">IF(AV60=$AR$11,$AQ$11,IF(AV60=$AR$12,$AQ$12,VLOOKUP(AV60,Voorblad!$X$67:$Z$98,2,FALSE)))</f>
        <v/>
      </c>
      <c r="AV60" s="685" t="str">
        <f t="shared" ca="1" si="13"/>
        <v>??</v>
      </c>
      <c r="AW60" s="684" t="str">
        <f ca="1">IF(AX60=$AR$11,$AQ$11,IF(AX60=$AR$12,$AQ$12,VLOOKUP(AX60,Voorblad!$X$67:$Z$98,2,FALSE)))</f>
        <v>Kroatië</v>
      </c>
      <c r="AX60" s="685" t="str">
        <f t="shared" ca="1" si="14"/>
        <v>B2</v>
      </c>
      <c r="AY60" s="684" t="str">
        <f ca="1">IF(AZ60=$AR$11,$AQ$11,IF(AZ60=$AR$12,$AQ$12,VLOOKUP(AZ60,Voorblad!$X$67:$Z$98,2,FALSE)))</f>
        <v/>
      </c>
      <c r="AZ60" s="685" t="str">
        <f t="shared" ca="1" si="15"/>
        <v>??</v>
      </c>
      <c r="BA60" s="688">
        <f t="shared" si="16"/>
        <v>20</v>
      </c>
    </row>
    <row r="61" spans="1:55" ht="12" customHeight="1" x14ac:dyDescent="0.25">
      <c r="A61" s="173"/>
      <c r="B61" s="17"/>
      <c r="C61" s="950"/>
      <c r="D61" s="107"/>
      <c r="E61" s="107"/>
      <c r="F61" s="107"/>
      <c r="G61" s="107"/>
      <c r="H61" s="107"/>
      <c r="I61" s="107"/>
      <c r="J61" s="107"/>
      <c r="K61" s="107"/>
      <c r="L61" s="107"/>
      <c r="M61" s="107"/>
      <c r="N61" s="107"/>
      <c r="O61" s="942"/>
      <c r="P61" s="942"/>
      <c r="Q61" s="942"/>
      <c r="R61" s="942"/>
      <c r="S61" s="942"/>
      <c r="T61" s="942"/>
      <c r="U61" s="942"/>
      <c r="V61" s="107"/>
      <c r="W61" s="107"/>
      <c r="X61" s="107"/>
      <c r="Y61" s="107"/>
      <c r="Z61" s="952"/>
      <c r="AA61" s="17"/>
      <c r="AB61" s="1240"/>
      <c r="AC61" s="10"/>
      <c r="AD61" s="5"/>
      <c r="AE61" s="10"/>
      <c r="AF61" s="10"/>
      <c r="AG61" s="5"/>
      <c r="AH61" s="5"/>
      <c r="AI61" s="5"/>
      <c r="AJ61" s="5"/>
      <c r="AK61" s="1"/>
      <c r="AL61" s="1"/>
      <c r="AM61" s="1"/>
      <c r="AN61" s="1"/>
      <c r="AO61" s="1"/>
      <c r="AP61" s="91"/>
      <c r="AQ61" s="674"/>
      <c r="AR61" s="678"/>
      <c r="AS61" s="684" t="str">
        <f ca="1">IF(AT61=$AR$11,$AQ$11,IF(AT61=$AR$12,$AQ$12,VLOOKUP(AT61,Voorblad!$X$67:$Z$98,2,FALSE)))</f>
        <v>Portugal</v>
      </c>
      <c r="AT61" s="685" t="str">
        <f t="shared" ca="1" si="12"/>
        <v>F3</v>
      </c>
      <c r="AU61" s="684" t="str">
        <f ca="1">IF(AV61=$AR$11,$AQ$11,IF(AV61=$AR$12,$AQ$12,VLOOKUP(AV61,Voorblad!$X$67:$Z$98,2,FALSE)))</f>
        <v/>
      </c>
      <c r="AV61" s="685" t="str">
        <f t="shared" ca="1" si="13"/>
        <v>??</v>
      </c>
      <c r="AW61" s="684" t="str">
        <f ca="1">IF(AX61=$AR$11,$AQ$11,IF(AX61=$AR$12,$AQ$12,VLOOKUP(AX61,Voorblad!$X$67:$Z$98,2,FALSE)))</f>
        <v>Nederland</v>
      </c>
      <c r="AX61" s="685" t="str">
        <f t="shared" ca="1" si="14"/>
        <v>D2</v>
      </c>
      <c r="AY61" s="684" t="str">
        <f ca="1">IF(AZ61=$AR$11,$AQ$11,IF(AZ61=$AR$12,$AQ$12,VLOOKUP(AZ61,Voorblad!$X$67:$Z$98,2,FALSE)))</f>
        <v/>
      </c>
      <c r="AZ61" s="685" t="str">
        <f t="shared" ca="1" si="15"/>
        <v>??</v>
      </c>
      <c r="BA61" s="688">
        <f t="shared" si="16"/>
        <v>22</v>
      </c>
    </row>
    <row r="62" spans="1:55" ht="15" customHeight="1" x14ac:dyDescent="0.25">
      <c r="A62" s="173"/>
      <c r="B62" s="17"/>
      <c r="C62" s="17"/>
      <c r="D62" s="17"/>
      <c r="E62" s="17"/>
      <c r="F62" s="17"/>
      <c r="G62" s="17"/>
      <c r="H62" s="17"/>
      <c r="I62" s="17"/>
      <c r="J62" s="17"/>
      <c r="K62" s="17"/>
      <c r="L62" s="17"/>
      <c r="M62" s="17"/>
      <c r="N62" s="17"/>
      <c r="O62" s="177"/>
      <c r="P62" s="177"/>
      <c r="Q62" s="177"/>
      <c r="R62" s="177"/>
      <c r="S62" s="177"/>
      <c r="T62" s="177"/>
      <c r="U62" s="177"/>
      <c r="V62" s="17"/>
      <c r="W62" s="17"/>
      <c r="X62" s="17"/>
      <c r="Y62" s="17"/>
      <c r="Z62" s="17"/>
      <c r="AA62" s="17"/>
      <c r="AB62" s="1240"/>
      <c r="AC62" s="296"/>
      <c r="AD62" s="296"/>
      <c r="AE62" s="296"/>
      <c r="AF62" s="296"/>
      <c r="AG62" s="296"/>
      <c r="AH62" s="296"/>
      <c r="AI62" s="734" t="s">
        <v>194</v>
      </c>
      <c r="AJ62" s="735">
        <f ca="1">IF(AI11=1,0,IF(COUNTIF(AH13:AJ57,"DUBBEL")&gt;0,1,0))</f>
        <v>0</v>
      </c>
      <c r="AK62" s="1"/>
      <c r="AL62" s="1"/>
      <c r="AM62" s="1"/>
      <c r="AN62" s="1"/>
      <c r="AO62" s="1"/>
      <c r="AP62" s="91"/>
      <c r="AQ62" s="674"/>
      <c r="AR62" s="678"/>
      <c r="AS62" s="684" t="str">
        <f ca="1">IF(AT62=$AR$11,$AQ$11,IF(AT62=$AR$12,$AQ$12,VLOOKUP(AT62,Voorblad!$X$67:$Z$98,2,FALSE)))</f>
        <v>Roemenië</v>
      </c>
      <c r="AT62" s="685" t="str">
        <f t="shared" ca="1" si="12"/>
        <v>E3</v>
      </c>
      <c r="AU62" s="684" t="str">
        <f ca="1">IF(AV62=$AR$11,$AQ$11,IF(AV62=$AR$12,$AQ$12,VLOOKUP(AV62,Voorblad!$X$67:$Z$98,2,FALSE)))</f>
        <v/>
      </c>
      <c r="AV62" s="685" t="str">
        <f t="shared" ca="1" si="13"/>
        <v>??</v>
      </c>
      <c r="AW62" s="684" t="str">
        <f ca="1">IF(AX62=$AR$11,$AQ$11,IF(AX62=$AR$12,$AQ$12,VLOOKUP(AX62,Voorblad!$X$67:$Z$98,2,FALSE)))</f>
        <v>Oekraïne</v>
      </c>
      <c r="AX62" s="685" t="str">
        <f t="shared" ca="1" si="14"/>
        <v>E4</v>
      </c>
      <c r="AY62" s="684" t="str">
        <f ca="1">IF(AZ62=$AR$11,$AQ$11,IF(AZ62=$AR$12,$AQ$12,VLOOKUP(AZ62,Voorblad!$X$67:$Z$98,2,FALSE)))</f>
        <v/>
      </c>
      <c r="AZ62" s="685" t="str">
        <f t="shared" ca="1" si="15"/>
        <v>??</v>
      </c>
      <c r="BA62" s="688">
        <f t="shared" si="16"/>
        <v>24</v>
      </c>
    </row>
    <row r="63" spans="1:55" ht="15" customHeight="1" x14ac:dyDescent="0.25">
      <c r="B63" s="17"/>
      <c r="C63" s="985"/>
      <c r="D63" s="975" t="str">
        <f>IF(Reglement!D71="","",Reglement!D71)</f>
        <v>www.excel-pool.nl</v>
      </c>
      <c r="E63" s="986"/>
      <c r="F63" s="986"/>
      <c r="G63" s="986"/>
      <c r="H63" s="986"/>
      <c r="I63" s="986"/>
      <c r="J63" s="986"/>
      <c r="K63" s="986"/>
      <c r="L63" s="986"/>
      <c r="M63" s="986"/>
      <c r="N63" s="986"/>
      <c r="O63" s="986"/>
      <c r="P63" s="986"/>
      <c r="Q63" s="986"/>
      <c r="R63" s="986"/>
      <c r="S63" s="986"/>
      <c r="T63" s="986"/>
      <c r="U63" s="986"/>
      <c r="V63" s="986"/>
      <c r="W63" s="986"/>
      <c r="X63" s="986"/>
      <c r="Y63" s="977" t="str">
        <f>IF(Reglement!M71="","",Reglement!M71)</f>
        <v>©2024 Eric de Jong v24.00dh</v>
      </c>
      <c r="Z63" s="978"/>
      <c r="AA63" s="17"/>
      <c r="AB63" s="1239" t="s">
        <v>292</v>
      </c>
      <c r="AC63" s="1239"/>
      <c r="AD63" s="1239"/>
      <c r="AE63" s="1239"/>
      <c r="AF63" s="1239"/>
      <c r="AG63" s="1239"/>
      <c r="AH63" s="1239"/>
      <c r="AI63" s="1239"/>
      <c r="AJ63" s="266"/>
      <c r="AK63" s="43"/>
      <c r="AL63" s="43"/>
      <c r="AM63" s="43"/>
      <c r="AN63" s="43"/>
      <c r="AO63" s="14" t="s">
        <v>195</v>
      </c>
      <c r="AP63" s="91">
        <v>0</v>
      </c>
      <c r="AQ63" s="674"/>
      <c r="AR63" s="678"/>
      <c r="AS63" s="684" t="str">
        <f ca="1">IF(AT63=$AR$11,$AQ$11,IF(AT63=$AR$12,$AQ$12,VLOOKUP(AT63,Voorblad!$X$67:$Z$98,2,FALSE)))</f>
        <v>Servië</v>
      </c>
      <c r="AT63" s="685" t="str">
        <f t="shared" ca="1" si="12"/>
        <v>C3</v>
      </c>
      <c r="AU63" s="684" t="str">
        <f ca="1">IF(AV63=$AR$11,$AQ$11,IF(AV63=$AR$12,$AQ$12,VLOOKUP(AV63,Voorblad!$X$67:$Z$98,2,FALSE)))</f>
        <v/>
      </c>
      <c r="AV63" s="685" t="str">
        <f t="shared" ca="1" si="13"/>
        <v>??</v>
      </c>
      <c r="AW63" s="684" t="str">
        <f ca="1">IF(AX63=$AR$11,$AQ$11,IF(AX63=$AR$12,$AQ$12,VLOOKUP(AX63,Voorblad!$X$67:$Z$98,2,FALSE)))</f>
        <v>Oostenrijk</v>
      </c>
      <c r="AX63" s="685" t="str">
        <f t="shared" ca="1" si="14"/>
        <v>D3</v>
      </c>
      <c r="AY63" s="684" t="str">
        <f ca="1">IF(AZ63=$AR$11,$AQ$11,IF(AZ63=$AR$12,$AQ$12,VLOOKUP(AZ63,Voorblad!$X$67:$Z$98,2,FALSE)))</f>
        <v/>
      </c>
      <c r="AZ63" s="685" t="str">
        <f t="shared" ca="1" si="15"/>
        <v>??</v>
      </c>
      <c r="BA63" s="688">
        <f t="shared" ref="BA63:BA71" si="17">BA62+2</f>
        <v>26</v>
      </c>
    </row>
    <row r="64" spans="1:55" ht="15" customHeight="1" x14ac:dyDescent="0.4">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239"/>
      <c r="AC64" s="1239"/>
      <c r="AD64" s="1239"/>
      <c r="AE64" s="1239"/>
      <c r="AF64" s="1239"/>
      <c r="AG64" s="1239"/>
      <c r="AH64" s="1239"/>
      <c r="AI64" s="1239"/>
      <c r="AJ64" s="266"/>
      <c r="AK64" s="178"/>
      <c r="AL64" s="178"/>
      <c r="AM64" s="178"/>
      <c r="AN64" s="178"/>
      <c r="AO64" s="14" t="str">
        <f>"De lengte van een correcte finalecode is "&amp;IF(A50="H",108,115)&amp;" tekens ---&gt;"</f>
        <v>De lengte van een correcte finalecode is 108 tekens ---&gt;</v>
      </c>
      <c r="AP64" s="179">
        <f ca="1">SUM(AP13:AP63)</f>
        <v>108</v>
      </c>
      <c r="AQ64" s="674"/>
      <c r="AR64" s="678"/>
      <c r="AS64" s="684" t="str">
        <f ca="1">IF(AT64=$AR$11,$AQ$11,IF(AT64=$AR$12,$AQ$12,VLOOKUP(AT64,Voorblad!$X$67:$Z$98,2,FALSE)))</f>
        <v>Slovenië</v>
      </c>
      <c r="AT64" s="685" t="str">
        <f t="shared" ca="1" si="12"/>
        <v>C1</v>
      </c>
      <c r="AU64" s="684" t="str">
        <f ca="1">IF(AV64=$AR$11,$AQ$11,IF(AV64=$AR$12,$AQ$12,VLOOKUP(AV64,Voorblad!$X$67:$Z$98,2,FALSE)))</f>
        <v/>
      </c>
      <c r="AV64" s="685" t="str">
        <f t="shared" ca="1" si="13"/>
        <v>??</v>
      </c>
      <c r="AW64" s="684" t="str">
        <f ca="1">IF(AX64=$AR$11,$AQ$11,IF(AX64=$AR$12,$AQ$12,VLOOKUP(AX64,Voorblad!$X$67:$Z$98,2,FALSE)))</f>
        <v>Polen</v>
      </c>
      <c r="AX64" s="685" t="str">
        <f t="shared" ca="1" si="14"/>
        <v>D1</v>
      </c>
      <c r="AY64" s="684" t="str">
        <f ca="1">IF(AZ64=$AR$11,$AQ$11,IF(AZ64=$AR$12,$AQ$12,VLOOKUP(AZ64,Voorblad!$X$67:$Z$98,2,FALSE)))</f>
        <v/>
      </c>
      <c r="AZ64" s="685" t="str">
        <f t="shared" ca="1" si="15"/>
        <v>??</v>
      </c>
      <c r="BA64" s="688">
        <f t="shared" si="17"/>
        <v>28</v>
      </c>
    </row>
    <row r="65" spans="3:53" ht="15" customHeight="1" x14ac:dyDescent="0.4">
      <c r="AB65" s="1239"/>
      <c r="AC65" s="1239"/>
      <c r="AD65" s="1239"/>
      <c r="AE65" s="1239"/>
      <c r="AF65" s="1239"/>
      <c r="AG65" s="1239"/>
      <c r="AH65" s="1239"/>
      <c r="AI65" s="1239"/>
      <c r="AJ65" s="266"/>
      <c r="AK65" s="178"/>
      <c r="AL65" s="180"/>
      <c r="AM65" s="180"/>
      <c r="AN65" s="180"/>
      <c r="AO65" s="180"/>
      <c r="AP65" s="180"/>
      <c r="AQ65" s="674"/>
      <c r="AR65" s="678"/>
      <c r="AS65" s="684" t="str">
        <f ca="1">IF(AT65=$AR$11,$AQ$11,IF(AT65=$AR$12,$AQ$12,VLOOKUP(AT65,Voorblad!$X$67:$Z$98,2,FALSE)))</f>
        <v>Slowakije</v>
      </c>
      <c r="AT65" s="685" t="str">
        <f t="shared" ca="1" si="12"/>
        <v>E2</v>
      </c>
      <c r="AU65" s="684" t="str">
        <f ca="1">IF(AV65=$AR$11,$AQ$11,IF(AV65=$AR$12,$AQ$12,VLOOKUP(AV65,Voorblad!$X$67:$Z$98,2,FALSE)))</f>
        <v/>
      </c>
      <c r="AV65" s="685" t="str">
        <f t="shared" ca="1" si="13"/>
        <v>??</v>
      </c>
      <c r="AW65" s="684" t="str">
        <f ca="1">IF(AX65=$AR$11,$AQ$11,IF(AX65=$AR$12,$AQ$12,VLOOKUP(AX65,Voorblad!$X$67:$Z$98,2,FALSE)))</f>
        <v>Roemenië</v>
      </c>
      <c r="AX65" s="685" t="str">
        <f t="shared" ca="1" si="14"/>
        <v>E3</v>
      </c>
      <c r="AY65" s="684" t="str">
        <f ca="1">IF(AZ65=$AR$11,$AQ$11,IF(AZ65=$AR$12,$AQ$12,VLOOKUP(AZ65,Voorblad!$X$67:$Z$98,2,FALSE)))</f>
        <v/>
      </c>
      <c r="AZ65" s="685" t="str">
        <f t="shared" ca="1" si="15"/>
        <v>??</v>
      </c>
      <c r="BA65" s="688">
        <f t="shared" si="17"/>
        <v>30</v>
      </c>
    </row>
    <row r="66" spans="3:53" ht="15" customHeight="1" x14ac:dyDescent="0.4">
      <c r="C66" s="112"/>
      <c r="AB66" s="270" t="s">
        <v>280</v>
      </c>
      <c r="AC66" s="269" t="s">
        <v>274</v>
      </c>
      <c r="AD66" s="266"/>
      <c r="AE66" s="266"/>
      <c r="AF66" s="266"/>
      <c r="AG66" s="266"/>
      <c r="AH66" s="266"/>
      <c r="AI66" s="266"/>
      <c r="AJ66" s="266"/>
      <c r="AK66" s="178"/>
      <c r="AL66" s="1207" t="s">
        <v>196</v>
      </c>
      <c r="AM66" s="1207"/>
      <c r="AN66" s="1207"/>
      <c r="AO66" s="1207"/>
      <c r="AP66" s="180"/>
      <c r="AQ66" s="674"/>
      <c r="AR66" s="678"/>
      <c r="AS66" s="684" t="str">
        <f ca="1">IF(AT66=$AR$11,$AQ$11,IF(AT66=$AR$12,$AQ$12,VLOOKUP(AT66,Voorblad!$X$67:$Z$98,2,FALSE)))</f>
        <v>Tsjechië</v>
      </c>
      <c r="AT66" s="685" t="str">
        <f t="shared" ca="1" si="12"/>
        <v>F4</v>
      </c>
      <c r="AU66" s="684" t="str">
        <f ca="1">IF(AV66=$AR$11,$AQ$11,IF(AV66=$AR$12,$AQ$12,VLOOKUP(AV66,Voorblad!$X$67:$Z$98,2,FALSE)))</f>
        <v/>
      </c>
      <c r="AV66" s="685" t="str">
        <f t="shared" ca="1" si="13"/>
        <v>??</v>
      </c>
      <c r="AW66" s="684" t="str">
        <f ca="1">IF(AX66=$AR$11,$AQ$11,IF(AX66=$AR$12,$AQ$12,VLOOKUP(AX66,Voorblad!$X$67:$Z$98,2,FALSE)))</f>
        <v>Schotland</v>
      </c>
      <c r="AX66" s="685" t="str">
        <f t="shared" ca="1" si="14"/>
        <v>A2</v>
      </c>
      <c r="AY66" s="684" t="str">
        <f ca="1">IF(AZ66=$AR$11,$AQ$11,IF(AZ66=$AR$12,$AQ$12,VLOOKUP(AZ66,Voorblad!$X$67:$Z$98,2,FALSE)))</f>
        <v/>
      </c>
      <c r="AZ66" s="685" t="str">
        <f t="shared" ca="1" si="15"/>
        <v>??</v>
      </c>
      <c r="BA66" s="688">
        <f t="shared" si="17"/>
        <v>32</v>
      </c>
    </row>
    <row r="67" spans="3:53" ht="15" customHeight="1" x14ac:dyDescent="0.4">
      <c r="C67" s="112"/>
      <c r="AB67" s="267"/>
      <c r="AC67" s="268" t="str">
        <f>Groepswedstrijden!V72</f>
        <v>©2024 Eric de Jong v24.00dh</v>
      </c>
      <c r="AD67" s="266"/>
      <c r="AE67" s="266"/>
      <c r="AF67" s="266"/>
      <c r="AG67" s="266">
        <f>IF(TYPE(AC67)=2,1,0)</f>
        <v>1</v>
      </c>
      <c r="AH67" s="266"/>
      <c r="AI67" s="266"/>
      <c r="AJ67" s="266"/>
      <c r="AK67" s="178"/>
      <c r="AL67" s="1208"/>
      <c r="AM67" s="1208"/>
      <c r="AN67" s="1208"/>
      <c r="AO67" s="1208"/>
      <c r="AP67" s="180"/>
      <c r="AQ67" s="674"/>
      <c r="AR67" s="678"/>
      <c r="AS67" s="684" t="str">
        <f ca="1">IF(AT67=$AR$11,$AQ$11,IF(AT67=$AR$12,$AQ$12,VLOOKUP(AT67,Voorblad!$X$67:$Z$98,2,FALSE)))</f>
        <v>Turkije</v>
      </c>
      <c r="AT67" s="685" t="str">
        <f t="shared" ca="1" si="12"/>
        <v>F1</v>
      </c>
      <c r="AU67" s="684" t="str">
        <f ca="1">IF(AV67=$AR$11,$AQ$11,IF(AV67=$AR$12,$AQ$12,VLOOKUP(AV67,Voorblad!$X$67:$Z$98,2,FALSE)))</f>
        <v/>
      </c>
      <c r="AV67" s="685" t="str">
        <f t="shared" ca="1" si="13"/>
        <v>??</v>
      </c>
      <c r="AW67" s="684" t="str">
        <f ca="1">IF(AX67=$AR$11,$AQ$11,IF(AX67=$AR$12,$AQ$12,VLOOKUP(AX67,Voorblad!$X$67:$Z$98,2,FALSE)))</f>
        <v>Servië</v>
      </c>
      <c r="AX67" s="685" t="str">
        <f t="shared" ca="1" si="14"/>
        <v>C3</v>
      </c>
      <c r="AY67" s="684" t="str">
        <f ca="1">IF(AZ67=$AR$11,$AQ$11,IF(AZ67=$AR$12,$AQ$12,VLOOKUP(AZ67,Voorblad!$X$67:$Z$98,2,FALSE)))</f>
        <v/>
      </c>
      <c r="AZ67" s="685" t="str">
        <f t="shared" ca="1" si="15"/>
        <v>??</v>
      </c>
      <c r="BA67" s="688">
        <f t="shared" si="17"/>
        <v>34</v>
      </c>
    </row>
    <row r="68" spans="3:53" ht="15" customHeight="1" x14ac:dyDescent="0.4">
      <c r="C68" s="112"/>
      <c r="AB68" s="270" t="s">
        <v>281</v>
      </c>
      <c r="AC68" s="269" t="s">
        <v>275</v>
      </c>
      <c r="AD68" s="266"/>
      <c r="AE68" s="266"/>
      <c r="AF68" s="266"/>
      <c r="AG68" s="266"/>
      <c r="AH68" s="266"/>
      <c r="AI68" s="266"/>
      <c r="AJ68" s="266"/>
      <c r="AK68" s="178"/>
      <c r="AL68" s="1202" t="str">
        <f ca="1">AO14&amp;AO16&amp;AO18&amp;AO20&amp;AO22&amp;AO24&amp;AO26&amp;AO28&amp;AO36&amp;AO38&amp;AO40&amp;AO42&amp;AO46&amp;AO48&amp;IF(A50="H","",AO52)&amp;AO56&amp;AO59</f>
        <v>CHHR12|DEDK21|GBSK20|ESAT31|NLUA31|PTIT11|BERS21|FRTR10|ESDE11|PTNL22|GBHR21|BEFR12|DEPT21|FRGB21|DEFR11|FR|</v>
      </c>
      <c r="AM68" s="1203"/>
      <c r="AN68" s="1203"/>
      <c r="AO68" s="1203"/>
      <c r="AP68" s="1204"/>
      <c r="AQ68" s="674"/>
      <c r="AR68" s="678"/>
      <c r="AS68" s="684" t="str">
        <f ca="1">IF(AT68=$AR$11,$AQ$11,IF(AT68=$AR$12,$AQ$12,VLOOKUP(AT68,Voorblad!$X$67:$Z$98,2,FALSE)))</f>
        <v/>
      </c>
      <c r="AT68" s="685" t="str">
        <f t="shared" ca="1" si="12"/>
        <v>??</v>
      </c>
      <c r="AU68" s="684" t="str">
        <f ca="1">IF(AV68=$AR$11,$AQ$11,IF(AV68=$AR$12,$AQ$12,VLOOKUP(AV68,Voorblad!$X$67:$Z$98,2,FALSE)))</f>
        <v/>
      </c>
      <c r="AV68" s="685" t="str">
        <f t="shared" ca="1" si="13"/>
        <v>??</v>
      </c>
      <c r="AW68" s="684" t="str">
        <f ca="1">IF(AX68=$AR$11,$AQ$11,IF(AX68=$AR$12,$AQ$12,VLOOKUP(AX68,Voorblad!$X$67:$Z$98,2,FALSE)))</f>
        <v>Slovenië</v>
      </c>
      <c r="AX68" s="685" t="str">
        <f t="shared" ca="1" si="14"/>
        <v>C1</v>
      </c>
      <c r="AY68" s="684" t="str">
        <f ca="1">IF(AZ68=$AR$11,$AQ$11,IF(AZ68=$AR$12,$AQ$12,VLOOKUP(AZ68,Voorblad!$X$67:$Z$98,2,FALSE)))</f>
        <v/>
      </c>
      <c r="AZ68" s="685" t="str">
        <f t="shared" ca="1" si="15"/>
        <v>??</v>
      </c>
      <c r="BA68" s="688">
        <f t="shared" si="17"/>
        <v>36</v>
      </c>
    </row>
    <row r="69" spans="3:53" ht="15" customHeight="1" x14ac:dyDescent="0.4">
      <c r="AB69" s="267"/>
      <c r="AC69" s="268" t="e">
        <f>#REF!</f>
        <v>#REF!</v>
      </c>
      <c r="AD69" s="266"/>
      <c r="AE69" s="266"/>
      <c r="AF69" s="266"/>
      <c r="AG69" s="266">
        <f>IF(TYPE(AC69)=2,1,0)</f>
        <v>0</v>
      </c>
      <c r="AH69" s="266"/>
      <c r="AI69" s="266"/>
      <c r="AJ69" s="266"/>
      <c r="AK69" s="178"/>
      <c r="AL69" s="1205"/>
      <c r="AM69" s="1108"/>
      <c r="AN69" s="1108"/>
      <c r="AO69" s="1108"/>
      <c r="AP69" s="1206"/>
      <c r="AQ69" s="674"/>
      <c r="AR69" s="678"/>
      <c r="AS69" s="684" t="str">
        <f ca="1">IF(AT69=$AR$11,$AQ$11,IF(AT69=$AR$12,$AQ$12,VLOOKUP(AT69,Voorblad!$X$67:$Z$98,2,FALSE)))</f>
        <v/>
      </c>
      <c r="AT69" s="685" t="str">
        <f t="shared" ca="1" si="12"/>
        <v>??</v>
      </c>
      <c r="AU69" s="684" t="str">
        <f ca="1">IF(AV69=$AR$11,$AQ$11,IF(AV69=$AR$12,$AQ$12,VLOOKUP(AV69,Voorblad!$X$67:$Z$98,2,FALSE)))</f>
        <v/>
      </c>
      <c r="AV69" s="685" t="str">
        <f t="shared" ca="1" si="13"/>
        <v>??</v>
      </c>
      <c r="AW69" s="684" t="str">
        <f ca="1">IF(AX69=$AR$11,$AQ$11,IF(AX69=$AR$12,$AQ$12,VLOOKUP(AX69,Voorblad!$X$67:$Z$98,2,FALSE)))</f>
        <v>Slowakije</v>
      </c>
      <c r="AX69" s="685" t="str">
        <f t="shared" ca="1" si="14"/>
        <v>E2</v>
      </c>
      <c r="AY69" s="684" t="str">
        <f ca="1">IF(AZ69=$AR$11,$AQ$11,IF(AZ69=$AR$12,$AQ$12,VLOOKUP(AZ69,Voorblad!$X$67:$Z$98,2,FALSE)))</f>
        <v/>
      </c>
      <c r="AZ69" s="685" t="str">
        <f t="shared" ca="1" si="15"/>
        <v>??</v>
      </c>
      <c r="BA69" s="688">
        <f t="shared" si="17"/>
        <v>38</v>
      </c>
    </row>
    <row r="70" spans="3:53" ht="15" customHeight="1" x14ac:dyDescent="0.4">
      <c r="AB70" s="270" t="s">
        <v>282</v>
      </c>
      <c r="AC70" s="269" t="s">
        <v>279</v>
      </c>
      <c r="AD70" s="266"/>
      <c r="AE70" s="266"/>
      <c r="AF70" s="266"/>
      <c r="AG70" s="266"/>
      <c r="AH70" s="272" t="s">
        <v>294</v>
      </c>
      <c r="AI70" s="266"/>
      <c r="AJ70" s="266"/>
      <c r="AK70" s="178"/>
      <c r="AL70" s="1200" t="s">
        <v>933</v>
      </c>
      <c r="AM70" s="1200"/>
      <c r="AN70" s="1200"/>
      <c r="AO70" s="1201"/>
      <c r="AP70" s="181">
        <f ca="1">LEN(AL68)</f>
        <v>108</v>
      </c>
      <c r="AQ70" s="674"/>
      <c r="AR70" s="678"/>
      <c r="AS70" s="684" t="str">
        <f ca="1">IF(AT70=$AR$11,$AQ$11,IF(AT70=$AR$12,$AQ$12,VLOOKUP(AT70,Voorblad!$X$67:$Z$98,2,FALSE)))</f>
        <v/>
      </c>
      <c r="AT70" s="685" t="str">
        <f t="shared" ca="1" si="12"/>
        <v>??</v>
      </c>
      <c r="AU70" s="684" t="str">
        <f ca="1">IF(AV70=$AR$11,$AQ$11,IF(AV70=$AR$12,$AQ$12,VLOOKUP(AV70,Voorblad!$X$67:$Z$98,2,FALSE)))</f>
        <v/>
      </c>
      <c r="AV70" s="685" t="str">
        <f t="shared" ca="1" si="13"/>
        <v>??</v>
      </c>
      <c r="AW70" s="684" t="str">
        <f ca="1">IF(AX70=$AR$11,$AQ$11,IF(AX70=$AR$12,$AQ$12,VLOOKUP(AX70,Voorblad!$X$67:$Z$98,2,FALSE)))</f>
        <v>Spanje</v>
      </c>
      <c r="AX70" s="685" t="str">
        <f t="shared" ca="1" si="14"/>
        <v>B1</v>
      </c>
      <c r="AY70" s="684" t="str">
        <f ca="1">IF(AZ70=$AR$11,$AQ$11,IF(AZ70=$AR$12,$AQ$12,VLOOKUP(AZ70,Voorblad!$X$67:$Z$98,2,FALSE)))</f>
        <v/>
      </c>
      <c r="AZ70" s="685" t="str">
        <f t="shared" ca="1" si="15"/>
        <v>??</v>
      </c>
      <c r="BA70" s="688">
        <f t="shared" si="17"/>
        <v>40</v>
      </c>
    </row>
    <row r="71" spans="3:53" ht="15" customHeight="1" x14ac:dyDescent="0.4">
      <c r="AB71" s="266"/>
      <c r="AC71" s="268" t="str">
        <f>'Eindstand Groep'!P67</f>
        <v>©2024 Eric de Jong v24.00dh</v>
      </c>
      <c r="AD71" s="266"/>
      <c r="AE71" s="266"/>
      <c r="AF71" s="266"/>
      <c r="AG71" s="488">
        <f>IF(TYPE(AC71)=2,1,0)</f>
        <v>1</v>
      </c>
      <c r="AH71" s="273" t="s">
        <v>293</v>
      </c>
      <c r="AI71" s="266"/>
      <c r="AJ71" s="266"/>
      <c r="AK71" s="178"/>
      <c r="AL71" s="1198" t="s">
        <v>1164</v>
      </c>
      <c r="AM71" s="1199"/>
      <c r="AN71" s="323" t="str">
        <f ca="1">AO14&amp;AO16&amp;AO18&amp;AO20&amp;AO22&amp;AO24&amp;AO26&amp;AO28&amp;AO36&amp;AO38&amp;AO40&amp;AO42&amp;AO46&amp;AO48&amp;IF(A50="H","",AO52)&amp;AO56</f>
        <v>CHHR12|DEDK21|GBSK20|ESAT31|NLUA31|PTIT11|BERS21|FRTR10|ESDE11|PTNL22|GBHR21|BEFR12|DEPT21|FRGB21|DEFR11|</v>
      </c>
      <c r="AO71" s="259" t="s">
        <v>197</v>
      </c>
      <c r="AP71" s="260" t="str">
        <f ca="1">IF(LEN(SUBSTITUTE(AL68,"FOUT","ONGELDIG"))=AP70,"GOED","FOUT")</f>
        <v>GOED</v>
      </c>
      <c r="AQ71" s="675"/>
      <c r="AR71" s="679"/>
      <c r="AS71" s="684" t="str">
        <f ca="1">IF(AT71=$AR$11,$AQ$11,IF(AT71=$AR$12,$AQ$12,VLOOKUP(AT71,Voorblad!$X$67:$Z$98,2,FALSE)))</f>
        <v/>
      </c>
      <c r="AT71" s="685" t="str">
        <f t="shared" ca="1" si="12"/>
        <v>??</v>
      </c>
      <c r="AU71" s="684" t="str">
        <f ca="1">IF(AV71=$AR$11,$AQ$11,IF(AV71=$AR$12,$AQ$12,VLOOKUP(AV71,Voorblad!$X$67:$Z$98,2,FALSE)))</f>
        <v/>
      </c>
      <c r="AV71" s="685" t="str">
        <f t="shared" ca="1" si="13"/>
        <v>??</v>
      </c>
      <c r="AW71" s="684" t="str">
        <f ca="1">IF(AX71=$AR$11,$AQ$11,IF(AX71=$AR$12,$AQ$12,VLOOKUP(AX71,Voorblad!$X$67:$Z$98,2,FALSE)))</f>
        <v>Zwitserland</v>
      </c>
      <c r="AX71" s="685" t="str">
        <f t="shared" ca="1" si="14"/>
        <v>A4</v>
      </c>
      <c r="AY71" s="684" t="str">
        <f ca="1">IF(AZ71=$AR$11,$AQ$11,IF(AZ71=$AR$12,$AQ$12,VLOOKUP(AZ71,Voorblad!$X$67:$Z$98,2,FALSE)))</f>
        <v/>
      </c>
      <c r="AZ71" s="685" t="str">
        <f t="shared" ca="1" si="15"/>
        <v>??</v>
      </c>
      <c r="BA71" s="689">
        <f t="shared" si="17"/>
        <v>42</v>
      </c>
    </row>
    <row r="72" spans="3:53" ht="15" customHeight="1" x14ac:dyDescent="0.25">
      <c r="AB72" s="266"/>
      <c r="AC72" s="266"/>
      <c r="AD72" s="266"/>
      <c r="AE72" s="266"/>
      <c r="AF72" s="266"/>
      <c r="AG72" s="266"/>
      <c r="AH72" s="266"/>
      <c r="AI72" s="266"/>
      <c r="AJ72" s="266"/>
      <c r="AK72" s="266"/>
      <c r="AL72" s="266"/>
      <c r="AM72" s="266"/>
      <c r="AN72" s="266"/>
      <c r="AO72" s="266"/>
      <c r="AP72" s="266"/>
      <c r="AQ72" s="714" t="s">
        <v>873</v>
      </c>
      <c r="AR72" s="709"/>
      <c r="AS72" s="690"/>
      <c r="AT72" s="691" t="s">
        <v>919</v>
      </c>
      <c r="AU72" s="690"/>
      <c r="AV72" s="691" t="s">
        <v>919</v>
      </c>
      <c r="AW72" s="690"/>
      <c r="AX72" s="691" t="s">
        <v>919</v>
      </c>
      <c r="AY72" s="690"/>
      <c r="AZ72" s="691" t="s">
        <v>919</v>
      </c>
      <c r="BA72" s="692"/>
    </row>
    <row r="73" spans="3:53" ht="15" customHeight="1" x14ac:dyDescent="0.25">
      <c r="O73" s="47"/>
      <c r="P73" s="47"/>
      <c r="AB73" s="720" t="s">
        <v>283</v>
      </c>
      <c r="AC73" s="1196" t="s">
        <v>284</v>
      </c>
      <c r="AD73" s="1196"/>
      <c r="AE73" s="1196" t="s">
        <v>285</v>
      </c>
      <c r="AF73" s="1196"/>
      <c r="AG73" s="1196" t="s">
        <v>286</v>
      </c>
      <c r="AH73" s="1196"/>
      <c r="AI73" s="1196" t="s">
        <v>287</v>
      </c>
      <c r="AJ73" s="1196"/>
      <c r="AK73" s="720" t="s">
        <v>288</v>
      </c>
      <c r="AL73" s="720" t="s">
        <v>289</v>
      </c>
      <c r="AM73" s="1197" t="s">
        <v>290</v>
      </c>
      <c r="AN73" s="1197"/>
      <c r="AO73" s="721" t="s">
        <v>291</v>
      </c>
      <c r="AP73" s="266"/>
      <c r="AQ73" s="710" t="str">
        <f ca="1">Voorblad!AA67</f>
        <v>B4</v>
      </c>
      <c r="AR73" s="711"/>
      <c r="AS73" s="693" t="str">
        <f ca="1">IF(AT73=$AR$11,$AQ$11,IF(AT73=$AR$12,$AQ$12,VLOOKUP(AT73,Voorblad!$X$67:$Z$98,2,FALSE)))</f>
        <v>Duitsland</v>
      </c>
      <c r="AT73" s="694" t="str">
        <f ca="1">RIGHT(LEFT($AK$102,$BA73),2)</f>
        <v>A1</v>
      </c>
      <c r="AU73" s="693" t="str">
        <f ca="1">IF(AV73=$AR$11,$AQ$11,IF(AV73=$AR$12,$AQ$12,VLOOKUP(AV73,Voorblad!$X$67:$Z$98,2,FALSE)))</f>
        <v>Nederland</v>
      </c>
      <c r="AV73" s="694" t="str">
        <f ca="1">RIGHT(LEFT($AL$102,$BA73),2)</f>
        <v>D2</v>
      </c>
      <c r="AW73" s="693" t="str">
        <f ca="1">IF(AX73=$AR$11,$AQ$11,IF(AX73=$AR$12,$AQ$12,VLOOKUP(AX73,Voorblad!$X$67:$Z$98,2,FALSE)))</f>
        <v>Frankrijk</v>
      </c>
      <c r="AX73" s="694" t="str">
        <f ca="1">RIGHT(LEFT($AK$103,$BA73),2)</f>
        <v>D4</v>
      </c>
      <c r="AY73" s="693" t="str">
        <f ca="1">IF(AZ73=$AR$11,$AQ$11,IF(AZ73=$AR$12,$AQ$12,VLOOKUP(AZ73,Voorblad!$X$67:$Z$98,2,FALSE)))</f>
        <v>Engeland</v>
      </c>
      <c r="AZ73" s="694" t="str">
        <f ca="1">RIGHT(LEFT($AL$103,$BA73),2)</f>
        <v>C4</v>
      </c>
      <c r="BA73" s="695">
        <v>2</v>
      </c>
    </row>
    <row r="74" spans="3:53" ht="15" customHeight="1" x14ac:dyDescent="0.25">
      <c r="O74" s="47"/>
      <c r="P74" s="47"/>
      <c r="AB74" s="717">
        <f>D14</f>
        <v>38</v>
      </c>
      <c r="AC74" s="1238" t="str">
        <f ca="1">Groepswedstrijden!$Z$73</f>
        <v>A3A4</v>
      </c>
      <c r="AD74" s="1238"/>
      <c r="AE74" s="1238" t="str">
        <f ca="1">Groepswedstrijden!$AA$73</f>
        <v>B1B2</v>
      </c>
      <c r="AF74" s="1238"/>
      <c r="AG74" s="1238" t="e">
        <f>#REF!</f>
        <v>#REF!</v>
      </c>
      <c r="AH74" s="1238"/>
      <c r="AI74" s="1238" t="e">
        <f>#REF!</f>
        <v>#REF!</v>
      </c>
      <c r="AJ74" s="1238"/>
      <c r="AK74" s="717" t="str">
        <f ca="1">'Eindstand Groep'!$Y$5</f>
        <v>A4</v>
      </c>
      <c r="AL74" s="717" t="str">
        <f ca="1">'Eindstand Groep'!$Z$5</f>
        <v>B2</v>
      </c>
      <c r="AM74" s="1244" t="str">
        <f t="shared" ref="AM74:AM81" ca="1" si="18">IF($AG$71=1,AK74,IF($AG$67=1,AC74,IF($AG$69=1,AG74,"")))</f>
        <v>A4</v>
      </c>
      <c r="AN74" s="1244"/>
      <c r="AO74" s="614" t="str">
        <f ca="1">IF($AG$71=1,AL74,IF($AG$67=1,AE74,IF($AG$69=1,AI74,"")))</f>
        <v>B2</v>
      </c>
      <c r="AP74" s="266"/>
      <c r="AQ74" s="710" t="str">
        <f ca="1">Voorblad!AA68</f>
        <v>E1</v>
      </c>
      <c r="AR74" s="711"/>
      <c r="AS74" s="693" t="str">
        <f ca="1">IF(AT74=$AR$11,$AQ$11,IF(AT74=$AR$12,$AQ$12,VLOOKUP(AT74,Voorblad!$X$67:$Z$98,2,FALSE)))</f>
        <v>Spanje</v>
      </c>
      <c r="AT74" s="694" t="str">
        <f t="shared" ref="AT74:AT105" ca="1" si="19">RIGHT(LEFT($AK$102,$BA74),2)</f>
        <v>B1</v>
      </c>
      <c r="AU74" s="693" t="str">
        <f ca="1">IF(AV74=$AR$11,$AQ$11,IF(AV74=$AR$12,$AQ$12,VLOOKUP(AV74,Voorblad!$X$67:$Z$98,2,FALSE)))</f>
        <v>Portugal</v>
      </c>
      <c r="AV74" s="694" t="str">
        <f t="shared" ref="AV74:AV105" ca="1" si="20">RIGHT(LEFT($AL$102,$BA74),2)</f>
        <v>F3</v>
      </c>
      <c r="AW74" s="693" t="str">
        <f ca="1">IF(AX74=$AR$11,$AQ$11,IF(AX74=$AR$12,$AQ$12,VLOOKUP(AX74,Voorblad!$X$67:$Z$98,2,FALSE)))</f>
        <v>────────────────</v>
      </c>
      <c r="AX74" s="694" t="str">
        <f t="shared" ref="AX74:AX105" ca="1" si="21">RIGHT(LEFT($AK$103,$BA74),2)</f>
        <v>&amp;&amp;</v>
      </c>
      <c r="AY74" s="693" t="str">
        <f ca="1">IF(AZ74=$AR$11,$AQ$11,IF(AZ74=$AR$12,$AQ$12,VLOOKUP(AZ74,Voorblad!$X$67:$Z$98,2,FALSE)))</f>
        <v>────────────────</v>
      </c>
      <c r="AZ74" s="694" t="str">
        <f t="shared" ref="AZ74:AZ105" ca="1" si="22">RIGHT(LEFT($AL$103,$BA74),2)</f>
        <v>&amp;&amp;</v>
      </c>
      <c r="BA74" s="696">
        <f t="shared" ref="BA74:BA84" si="23">BA73+2</f>
        <v>4</v>
      </c>
    </row>
    <row r="75" spans="3:53" x14ac:dyDescent="0.25">
      <c r="O75" s="47"/>
      <c r="P75" s="47"/>
      <c r="AB75" s="718">
        <f>D16</f>
        <v>37</v>
      </c>
      <c r="AC75" s="1237" t="str">
        <f ca="1">Groepswedstrijden!$Z$72</f>
        <v>A1</v>
      </c>
      <c r="AD75" s="1237"/>
      <c r="AE75" s="1237" t="str">
        <f ca="1">Groepswedstrijden!$AB$73</f>
        <v>C2C3</v>
      </c>
      <c r="AF75" s="1237"/>
      <c r="AG75" s="1237" t="e">
        <f>#REF!</f>
        <v>#REF!</v>
      </c>
      <c r="AH75" s="1237"/>
      <c r="AI75" s="1237" t="e">
        <f>#REF!</f>
        <v>#REF!</v>
      </c>
      <c r="AJ75" s="1237"/>
      <c r="AK75" s="718" t="str">
        <f ca="1">'Eindstand Groep'!$Y$6</f>
        <v>A1</v>
      </c>
      <c r="AL75" s="718" t="str">
        <f ca="1">'Eindstand Groep'!$Z$6</f>
        <v>C2</v>
      </c>
      <c r="AM75" s="1245" t="str">
        <f t="shared" ca="1" si="18"/>
        <v>A1</v>
      </c>
      <c r="AN75" s="1245"/>
      <c r="AO75" s="719" t="str">
        <f t="shared" ref="AO75:AO81" ca="1" si="24">IF($AG$71=1,AL75,IF($AG$67=1,AE75,IF($AG$69=1,AI75,"")))</f>
        <v>C2</v>
      </c>
      <c r="AP75" s="266"/>
      <c r="AQ75" s="710" t="str">
        <f ca="1">Voorblad!AA69</f>
        <v>C2</v>
      </c>
      <c r="AR75" s="711"/>
      <c r="AS75" s="693" t="str">
        <f ca="1">IF(AT75=$AR$11,$AQ$11,IF(AT75=$AR$12,$AQ$12,VLOOKUP(AT75,Voorblad!$X$67:$Z$98,2,FALSE)))</f>
        <v>────────────────</v>
      </c>
      <c r="AT75" s="694" t="str">
        <f t="shared" ca="1" si="19"/>
        <v>&amp;&amp;</v>
      </c>
      <c r="AU75" s="693" t="str">
        <f ca="1">IF(AV75=$AR$11,$AQ$11,IF(AV75=$AR$12,$AQ$12,VLOOKUP(AV75,Voorblad!$X$67:$Z$98,2,FALSE)))</f>
        <v>────────────────</v>
      </c>
      <c r="AV75" s="694" t="str">
        <f t="shared" ca="1" si="20"/>
        <v>&amp;&amp;</v>
      </c>
      <c r="AW75" s="693" t="str">
        <f ca="1">IF(AX75=$AR$11,$AQ$11,IF(AX75=$AR$12,$AQ$12,VLOOKUP(AX75,Voorblad!$X$67:$Z$98,2,FALSE)))</f>
        <v>Albanië</v>
      </c>
      <c r="AX75" s="694" t="str">
        <f t="shared" ca="1" si="21"/>
        <v>B4</v>
      </c>
      <c r="AY75" s="693" t="str">
        <f ca="1">IF(AZ75=$AR$11,$AQ$11,IF(AZ75=$AR$12,$AQ$12,VLOOKUP(AZ75,Voorblad!$X$67:$Z$98,2,FALSE)))</f>
        <v>Albanië</v>
      </c>
      <c r="AZ75" s="694" t="str">
        <f t="shared" ca="1" si="22"/>
        <v>B4</v>
      </c>
      <c r="BA75" s="696">
        <f t="shared" si="23"/>
        <v>6</v>
      </c>
    </row>
    <row r="76" spans="3:53" x14ac:dyDescent="0.25">
      <c r="O76" s="47"/>
      <c r="P76" s="47"/>
      <c r="AB76" s="717">
        <f>D18</f>
        <v>40</v>
      </c>
      <c r="AC76" s="1238" t="str">
        <f ca="1">Groepswedstrijden!$AB$72</f>
        <v>C4</v>
      </c>
      <c r="AD76" s="1238"/>
      <c r="AE76" s="1238" t="str">
        <f ca="1">Groepswedstrijden!$AC$74&amp;Groepswedstrijden!$AD$74&amp;Groepswedstrijden!$AE$74</f>
        <v>D3E2E4F4</v>
      </c>
      <c r="AF76" s="1238"/>
      <c r="AG76" s="1238" t="e">
        <f>#REF!</f>
        <v>#REF!</v>
      </c>
      <c r="AH76" s="1238"/>
      <c r="AI76" s="1238" t="e">
        <f>#REF!&amp;#REF!&amp;#REF!</f>
        <v>#REF!</v>
      </c>
      <c r="AJ76" s="1238"/>
      <c r="AK76" s="717" t="str">
        <f ca="1">'Eindstand Groep'!$Y$7</f>
        <v>C4</v>
      </c>
      <c r="AL76" s="717" t="str">
        <f ca="1">'Eindstand Groep'!$Z$7</f>
        <v>D3E2F4</v>
      </c>
      <c r="AM76" s="1244" t="str">
        <f t="shared" ca="1" si="18"/>
        <v>C4</v>
      </c>
      <c r="AN76" s="1244"/>
      <c r="AO76" s="614" t="str">
        <f t="shared" ca="1" si="24"/>
        <v>D3E2F4</v>
      </c>
      <c r="AP76" s="266"/>
      <c r="AQ76" s="710" t="str">
        <f ca="1">Voorblad!AA70</f>
        <v>A1</v>
      </c>
      <c r="AR76" s="711"/>
      <c r="AS76" s="693" t="str">
        <f ca="1">IF(AT76=$AR$11,$AQ$11,IF(AT76=$AR$12,$AQ$12,VLOOKUP(AT76,Voorblad!$X$67:$Z$98,2,FALSE)))</f>
        <v>Albanië</v>
      </c>
      <c r="AT76" s="694" t="str">
        <f t="shared" ca="1" si="19"/>
        <v>B4</v>
      </c>
      <c r="AU76" s="693" t="str">
        <f ca="1">IF(AV76=$AR$11,$AQ$11,IF(AV76=$AR$12,$AQ$12,VLOOKUP(AV76,Voorblad!$X$67:$Z$98,2,FALSE)))</f>
        <v>Albanië</v>
      </c>
      <c r="AV76" s="694" t="str">
        <f t="shared" ca="1" si="20"/>
        <v>B4</v>
      </c>
      <c r="AW76" s="693" t="str">
        <f ca="1">IF(AX76=$AR$11,$AQ$11,IF(AX76=$AR$12,$AQ$12,VLOOKUP(AX76,Voorblad!$X$67:$Z$98,2,FALSE)))</f>
        <v>België</v>
      </c>
      <c r="AX76" s="694" t="str">
        <f t="shared" ca="1" si="21"/>
        <v>E1</v>
      </c>
      <c r="AY76" s="693" t="str">
        <f ca="1">IF(AZ76=$AR$11,$AQ$11,IF(AZ76=$AR$12,$AQ$12,VLOOKUP(AZ76,Voorblad!$X$67:$Z$98,2,FALSE)))</f>
        <v>België</v>
      </c>
      <c r="AZ76" s="694" t="str">
        <f t="shared" ca="1" si="22"/>
        <v>E1</v>
      </c>
      <c r="BA76" s="696">
        <f t="shared" si="23"/>
        <v>8</v>
      </c>
    </row>
    <row r="77" spans="3:53" x14ac:dyDescent="0.25">
      <c r="O77" s="47"/>
      <c r="P77" s="47"/>
      <c r="AB77" s="718">
        <f>D20</f>
        <v>39</v>
      </c>
      <c r="AC77" s="1237" t="str">
        <f ca="1">Groepswedstrijden!$AA$72</f>
        <v>B1B2</v>
      </c>
      <c r="AD77" s="1237"/>
      <c r="AE77" s="1237" t="str">
        <f ca="1">Groepswedstrijden!$Z$74&amp;Groepswedstrijden!$AC$74&amp;Groepswedstrijden!$AD$74&amp;Groepswedstrijden!$AE$74</f>
        <v>A3A4D3E2E4F4</v>
      </c>
      <c r="AF77" s="1237"/>
      <c r="AG77" s="1237" t="e">
        <f>#REF!</f>
        <v>#REF!</v>
      </c>
      <c r="AH77" s="1237"/>
      <c r="AI77" s="1237" t="e">
        <f>#REF!&amp;#REF!&amp;#REF!&amp;#REF!</f>
        <v>#REF!</v>
      </c>
      <c r="AJ77" s="1237"/>
      <c r="AK77" s="718" t="str">
        <f ca="1">'Eindstand Groep'!$Y$8</f>
        <v>B1</v>
      </c>
      <c r="AL77" s="718" t="str">
        <f ca="1">'Eindstand Groep'!$Z$8</f>
        <v>A3D3E2F4</v>
      </c>
      <c r="AM77" s="1245" t="str">
        <f t="shared" ca="1" si="18"/>
        <v>B1</v>
      </c>
      <c r="AN77" s="1245"/>
      <c r="AO77" s="719" t="str">
        <f t="shared" ca="1" si="24"/>
        <v>A3D3E2F4</v>
      </c>
      <c r="AP77" s="266"/>
      <c r="AQ77" s="710" t="str">
        <f ca="1">Voorblad!AA71</f>
        <v>C4</v>
      </c>
      <c r="AR77" s="711"/>
      <c r="AS77" s="693" t="str">
        <f ca="1">IF(AT77=$AR$11,$AQ$11,IF(AT77=$AR$12,$AQ$12,VLOOKUP(AT77,Voorblad!$X$67:$Z$98,2,FALSE)))</f>
        <v>België</v>
      </c>
      <c r="AT77" s="694" t="str">
        <f t="shared" ca="1" si="19"/>
        <v>E1</v>
      </c>
      <c r="AU77" s="693" t="str">
        <f ca="1">IF(AV77=$AR$11,$AQ$11,IF(AV77=$AR$12,$AQ$12,VLOOKUP(AV77,Voorblad!$X$67:$Z$98,2,FALSE)))</f>
        <v>België</v>
      </c>
      <c r="AV77" s="694" t="str">
        <f t="shared" ca="1" si="20"/>
        <v>E1</v>
      </c>
      <c r="AW77" s="693" t="str">
        <f ca="1">IF(AX77=$AR$11,$AQ$11,IF(AX77=$AR$12,$AQ$12,VLOOKUP(AX77,Voorblad!$X$67:$Z$98,2,FALSE)))</f>
        <v>Denemarken</v>
      </c>
      <c r="AX77" s="694" t="str">
        <f t="shared" ca="1" si="21"/>
        <v>C2</v>
      </c>
      <c r="AY77" s="693" t="str">
        <f ca="1">IF(AZ77=$AR$11,$AQ$11,IF(AZ77=$AR$12,$AQ$12,VLOOKUP(AZ77,Voorblad!$X$67:$Z$98,2,FALSE)))</f>
        <v>Denemarken</v>
      </c>
      <c r="AZ77" s="694" t="str">
        <f t="shared" ca="1" si="22"/>
        <v>C2</v>
      </c>
      <c r="BA77" s="696">
        <f t="shared" si="23"/>
        <v>10</v>
      </c>
    </row>
    <row r="78" spans="3:53" x14ac:dyDescent="0.25">
      <c r="O78" s="47"/>
      <c r="P78" s="47"/>
      <c r="AB78" s="717">
        <f>D22</f>
        <v>42</v>
      </c>
      <c r="AC78" s="1238" t="str">
        <f ca="1">Groepswedstrijden!$AC$73</f>
        <v>D2</v>
      </c>
      <c r="AD78" s="1238"/>
      <c r="AE78" s="1238" t="str">
        <f ca="1">Groepswedstrijden!$AD$73</f>
        <v>E2E4</v>
      </c>
      <c r="AF78" s="1238"/>
      <c r="AG78" s="1238" t="e">
        <f>#REF!</f>
        <v>#REF!</v>
      </c>
      <c r="AH78" s="1238"/>
      <c r="AI78" s="1238" t="e">
        <f>#REF!</f>
        <v>#REF!</v>
      </c>
      <c r="AJ78" s="1238"/>
      <c r="AK78" s="717" t="str">
        <f ca="1">'Eindstand Groep'!$Y$9</f>
        <v>D2</v>
      </c>
      <c r="AL78" s="717" t="str">
        <f ca="1">'Eindstand Groep'!$Z$9</f>
        <v>E4</v>
      </c>
      <c r="AM78" s="1244" t="str">
        <f t="shared" ca="1" si="18"/>
        <v>D2</v>
      </c>
      <c r="AN78" s="1244"/>
      <c r="AO78" s="614" t="str">
        <f t="shared" ca="1" si="24"/>
        <v>E4</v>
      </c>
      <c r="AP78" s="266"/>
      <c r="AQ78" s="710" t="str">
        <f ca="1">Voorblad!AA72</f>
        <v>D4</v>
      </c>
      <c r="AR78" s="711"/>
      <c r="AS78" s="693" t="str">
        <f ca="1">IF(AT78=$AR$11,$AQ$11,IF(AT78=$AR$12,$AQ$12,VLOOKUP(AT78,Voorblad!$X$67:$Z$98,2,FALSE)))</f>
        <v>Denemarken</v>
      </c>
      <c r="AT78" s="694" t="str">
        <f t="shared" ca="1" si="19"/>
        <v>C2</v>
      </c>
      <c r="AU78" s="693" t="str">
        <f ca="1">IF(AV78=$AR$11,$AQ$11,IF(AV78=$AR$12,$AQ$12,VLOOKUP(AV78,Voorblad!$X$67:$Z$98,2,FALSE)))</f>
        <v>Denemarken</v>
      </c>
      <c r="AV78" s="694" t="str">
        <f t="shared" ca="1" si="20"/>
        <v>C2</v>
      </c>
      <c r="AW78" s="693" t="str">
        <f ca="1">IF(AX78=$AR$11,$AQ$11,IF(AX78=$AR$12,$AQ$12,VLOOKUP(AX78,Voorblad!$X$67:$Z$98,2,FALSE)))</f>
        <v>Duitsland</v>
      </c>
      <c r="AX78" s="694" t="str">
        <f t="shared" ca="1" si="21"/>
        <v>A1</v>
      </c>
      <c r="AY78" s="693" t="str">
        <f ca="1">IF(AZ78=$AR$11,$AQ$11,IF(AZ78=$AR$12,$AQ$12,VLOOKUP(AZ78,Voorblad!$X$67:$Z$98,2,FALSE)))</f>
        <v>Duitsland</v>
      </c>
      <c r="AZ78" s="694" t="str">
        <f t="shared" ca="1" si="22"/>
        <v>A1</v>
      </c>
      <c r="BA78" s="696">
        <f t="shared" si="23"/>
        <v>12</v>
      </c>
    </row>
    <row r="79" spans="3:53" x14ac:dyDescent="0.25">
      <c r="O79" s="47"/>
      <c r="P79" s="47"/>
      <c r="AB79" s="718">
        <f>D24</f>
        <v>41</v>
      </c>
      <c r="AC79" s="1237" t="str">
        <f ca="1">Groepswedstrijden!$AE$72</f>
        <v>F3</v>
      </c>
      <c r="AD79" s="1237"/>
      <c r="AE79" s="1237" t="str">
        <f ca="1">Groepswedstrijden!$Z$74&amp;Groepswedstrijden!$AA$74&amp;Groepswedstrijden!$AB$74</f>
        <v>A3A4B3C2C3</v>
      </c>
      <c r="AF79" s="1237"/>
      <c r="AG79" s="1237" t="e">
        <f>#REF!</f>
        <v>#REF!</v>
      </c>
      <c r="AH79" s="1237"/>
      <c r="AI79" s="1237" t="e">
        <f>#REF!&amp;#REF!&amp;#REF!</f>
        <v>#REF!</v>
      </c>
      <c r="AJ79" s="1237"/>
      <c r="AK79" s="718" t="str">
        <f ca="1">'Eindstand Groep'!$Y$10</f>
        <v>F3</v>
      </c>
      <c r="AL79" s="718" t="str">
        <f ca="1">'Eindstand Groep'!$Z$10</f>
        <v>A3B3C3</v>
      </c>
      <c r="AM79" s="1245" t="str">
        <f t="shared" ca="1" si="18"/>
        <v>F3</v>
      </c>
      <c r="AN79" s="1245"/>
      <c r="AO79" s="719" t="str">
        <f t="shared" ca="1" si="24"/>
        <v>A3B3C3</v>
      </c>
      <c r="AP79" s="266"/>
      <c r="AQ79" s="710" t="str">
        <f ca="1">Voorblad!AA73</f>
        <v>F2</v>
      </c>
      <c r="AR79" s="711"/>
      <c r="AS79" s="693" t="str">
        <f ca="1">IF(AT79=$AR$11,$AQ$11,IF(AT79=$AR$12,$AQ$12,VLOOKUP(AT79,Voorblad!$X$67:$Z$98,2,FALSE)))</f>
        <v>Engeland</v>
      </c>
      <c r="AT79" s="694" t="str">
        <f t="shared" ca="1" si="19"/>
        <v>C4</v>
      </c>
      <c r="AU79" s="693" t="str">
        <f ca="1">IF(AV79=$AR$11,$AQ$11,IF(AV79=$AR$12,$AQ$12,VLOOKUP(AV79,Voorblad!$X$67:$Z$98,2,FALSE)))</f>
        <v>Duitsland</v>
      </c>
      <c r="AV79" s="694" t="str">
        <f t="shared" ca="1" si="20"/>
        <v>A1</v>
      </c>
      <c r="AW79" s="693" t="str">
        <f ca="1">IF(AX79=$AR$11,$AQ$11,IF(AX79=$AR$12,$AQ$12,VLOOKUP(AX79,Voorblad!$X$67:$Z$98,2,FALSE)))</f>
        <v>Engeland</v>
      </c>
      <c r="AX79" s="694" t="str">
        <f t="shared" ca="1" si="21"/>
        <v>C4</v>
      </c>
      <c r="AY79" s="693" t="str">
        <f ca="1">IF(AZ79=$AR$11,$AQ$11,IF(AZ79=$AR$12,$AQ$12,VLOOKUP(AZ79,Voorblad!$X$67:$Z$98,2,FALSE)))</f>
        <v>Frankrijk</v>
      </c>
      <c r="AZ79" s="694" t="str">
        <f t="shared" ca="1" si="22"/>
        <v>D4</v>
      </c>
      <c r="BA79" s="696">
        <f t="shared" si="23"/>
        <v>14</v>
      </c>
    </row>
    <row r="80" spans="3:53" x14ac:dyDescent="0.25">
      <c r="AB80" s="717">
        <f>D26</f>
        <v>43</v>
      </c>
      <c r="AC80" s="1238" t="str">
        <f ca="1">Groepswedstrijden!$AD$72</f>
        <v>E1</v>
      </c>
      <c r="AD80" s="1238"/>
      <c r="AE80" s="1238" t="str">
        <f ca="1">Groepswedstrijden!$Z$74&amp;Groepswedstrijden!$AA$74&amp;Groepswedstrijden!$AB$74&amp;Groepswedstrijden!$AC$74</f>
        <v>A3A4B3C2C3D3</v>
      </c>
      <c r="AF80" s="1238"/>
      <c r="AG80" s="1238" t="e">
        <f>#REF!</f>
        <v>#REF!</v>
      </c>
      <c r="AH80" s="1238"/>
      <c r="AI80" s="1238" t="e">
        <f>#REF!&amp;#REF!&amp;#REF!&amp;#REF!</f>
        <v>#REF!</v>
      </c>
      <c r="AJ80" s="1238"/>
      <c r="AK80" s="717" t="str">
        <f ca="1">'Eindstand Groep'!$Y$11</f>
        <v>E1</v>
      </c>
      <c r="AL80" s="717" t="str">
        <f ca="1">'Eindstand Groep'!$Z$11</f>
        <v>A3B3C3D3</v>
      </c>
      <c r="AM80" s="1244" t="str">
        <f t="shared" ca="1" si="18"/>
        <v>E1</v>
      </c>
      <c r="AN80" s="1244"/>
      <c r="AO80" s="614" t="str">
        <f t="shared" ca="1" si="24"/>
        <v>A3B3C3D3</v>
      </c>
      <c r="AP80" s="266"/>
      <c r="AQ80" s="710" t="str">
        <f ca="1">Voorblad!AA74</f>
        <v>A3</v>
      </c>
      <c r="AR80" s="711"/>
      <c r="AS80" s="693" t="str">
        <f ca="1">IF(AT80=$AR$11,$AQ$11,IF(AT80=$AR$12,$AQ$12,VLOOKUP(AT80,Voorblad!$X$67:$Z$98,2,FALSE)))</f>
        <v>Frankrijk</v>
      </c>
      <c r="AT80" s="694" t="str">
        <f t="shared" ca="1" si="19"/>
        <v>D4</v>
      </c>
      <c r="AU80" s="693" t="str">
        <f ca="1">IF(AV80=$AR$11,$AQ$11,IF(AV80=$AR$12,$AQ$12,VLOOKUP(AV80,Voorblad!$X$67:$Z$98,2,FALSE)))</f>
        <v>Engeland</v>
      </c>
      <c r="AV80" s="694" t="str">
        <f t="shared" ca="1" si="20"/>
        <v>C4</v>
      </c>
      <c r="AW80" s="693" t="str">
        <f ca="1">IF(AX80=$AR$11,$AQ$11,IF(AX80=$AR$12,$AQ$12,VLOOKUP(AX80,Voorblad!$X$67:$Z$98,2,FALSE)))</f>
        <v>Georgië</v>
      </c>
      <c r="AX80" s="694" t="str">
        <f t="shared" ca="1" si="21"/>
        <v>F2</v>
      </c>
      <c r="AY80" s="693" t="str">
        <f ca="1">IF(AZ80=$AR$11,$AQ$11,IF(AZ80=$AR$12,$AQ$12,VLOOKUP(AZ80,Voorblad!$X$67:$Z$98,2,FALSE)))</f>
        <v>Georgië</v>
      </c>
      <c r="AZ80" s="694" t="str">
        <f t="shared" ca="1" si="22"/>
        <v>F2</v>
      </c>
      <c r="BA80" s="696">
        <f t="shared" si="23"/>
        <v>16</v>
      </c>
    </row>
    <row r="81" spans="21:53" x14ac:dyDescent="0.25">
      <c r="AB81" s="718">
        <f>D28</f>
        <v>44</v>
      </c>
      <c r="AC81" s="1237" t="str">
        <f ca="1">Groepswedstrijden!$AC$72</f>
        <v>D4</v>
      </c>
      <c r="AD81" s="1237"/>
      <c r="AE81" s="1237" t="str">
        <f ca="1">Groepswedstrijden!$AE$73</f>
        <v>F1</v>
      </c>
      <c r="AF81" s="1237"/>
      <c r="AG81" s="1237" t="e">
        <f>#REF!</f>
        <v>#REF!</v>
      </c>
      <c r="AH81" s="1237"/>
      <c r="AI81" s="1237" t="e">
        <f>#REF!</f>
        <v>#REF!</v>
      </c>
      <c r="AJ81" s="1237"/>
      <c r="AK81" s="718" t="str">
        <f ca="1">'Eindstand Groep'!$Y$12</f>
        <v>D4</v>
      </c>
      <c r="AL81" s="718" t="str">
        <f ca="1">'Eindstand Groep'!$Z$12</f>
        <v>F1</v>
      </c>
      <c r="AM81" s="1245" t="str">
        <f t="shared" ca="1" si="18"/>
        <v>D4</v>
      </c>
      <c r="AN81" s="1245"/>
      <c r="AO81" s="719" t="str">
        <f t="shared" ca="1" si="24"/>
        <v>F1</v>
      </c>
      <c r="AP81" s="266"/>
      <c r="AQ81" s="710" t="str">
        <f ca="1">Voorblad!AA75</f>
        <v>B3</v>
      </c>
      <c r="AR81" s="711"/>
      <c r="AS81" s="693" t="str">
        <f ca="1">IF(AT81=$AR$11,$AQ$11,IF(AT81=$AR$12,$AQ$12,VLOOKUP(AT81,Voorblad!$X$67:$Z$98,2,FALSE)))</f>
        <v>Georgië</v>
      </c>
      <c r="AT81" s="694" t="str">
        <f t="shared" ca="1" si="19"/>
        <v>F2</v>
      </c>
      <c r="AU81" s="693" t="str">
        <f ca="1">IF(AV81=$AR$11,$AQ$11,IF(AV81=$AR$12,$AQ$12,VLOOKUP(AV81,Voorblad!$X$67:$Z$98,2,FALSE)))</f>
        <v>Frankrijk</v>
      </c>
      <c r="AV81" s="694" t="str">
        <f t="shared" ca="1" si="20"/>
        <v>D4</v>
      </c>
      <c r="AW81" s="693" t="str">
        <f ca="1">IF(AX81=$AR$11,$AQ$11,IF(AX81=$AR$12,$AQ$12,VLOOKUP(AX81,Voorblad!$X$67:$Z$98,2,FALSE)))</f>
        <v>Hongarije</v>
      </c>
      <c r="AX81" s="694" t="str">
        <f t="shared" ca="1" si="21"/>
        <v>A3</v>
      </c>
      <c r="AY81" s="693" t="str">
        <f ca="1">IF(AZ81=$AR$11,$AQ$11,IF(AZ81=$AR$12,$AQ$12,VLOOKUP(AZ81,Voorblad!$X$67:$Z$98,2,FALSE)))</f>
        <v>Hongarije</v>
      </c>
      <c r="AZ81" s="694" t="str">
        <f t="shared" ca="1" si="22"/>
        <v>A3</v>
      </c>
      <c r="BA81" s="696">
        <f t="shared" si="23"/>
        <v>18</v>
      </c>
    </row>
    <row r="82" spans="21:53" x14ac:dyDescent="0.25">
      <c r="AB82" s="266"/>
      <c r="AC82" s="266"/>
      <c r="AD82" s="266"/>
      <c r="AE82" s="266"/>
      <c r="AF82" s="266"/>
      <c r="AG82" s="266"/>
      <c r="AH82" s="266"/>
      <c r="AI82" s="266"/>
      <c r="AJ82" s="266"/>
      <c r="AK82" s="266"/>
      <c r="AL82" s="266"/>
      <c r="AM82" s="266"/>
      <c r="AN82" s="266"/>
      <c r="AO82" s="266"/>
      <c r="AP82" s="266"/>
      <c r="AQ82" s="710" t="str">
        <f ca="1">Voorblad!AA76</f>
        <v>B2</v>
      </c>
      <c r="AR82" s="711"/>
      <c r="AS82" s="693" t="str">
        <f ca="1">IF(AT82=$AR$11,$AQ$11,IF(AT82=$AR$12,$AQ$12,VLOOKUP(AT82,Voorblad!$X$67:$Z$98,2,FALSE)))</f>
        <v>Hongarije</v>
      </c>
      <c r="AT82" s="694" t="str">
        <f t="shared" ca="1" si="19"/>
        <v>A3</v>
      </c>
      <c r="AU82" s="693" t="str">
        <f ca="1">IF(AV82=$AR$11,$AQ$11,IF(AV82=$AR$12,$AQ$12,VLOOKUP(AV82,Voorblad!$X$67:$Z$98,2,FALSE)))</f>
        <v>Georgië</v>
      </c>
      <c r="AV82" s="694" t="str">
        <f t="shared" ca="1" si="20"/>
        <v>F2</v>
      </c>
      <c r="AW82" s="693" t="str">
        <f ca="1">IF(AX82=$AR$11,$AQ$11,IF(AX82=$AR$12,$AQ$12,VLOOKUP(AX82,Voorblad!$X$67:$Z$98,2,FALSE)))</f>
        <v>Italië</v>
      </c>
      <c r="AX82" s="694" t="str">
        <f t="shared" ca="1" si="21"/>
        <v>B3</v>
      </c>
      <c r="AY82" s="693" t="str">
        <f ca="1">IF(AZ82=$AR$11,$AQ$11,IF(AZ82=$AR$12,$AQ$12,VLOOKUP(AZ82,Voorblad!$X$67:$Z$98,2,FALSE)))</f>
        <v>Italië</v>
      </c>
      <c r="AZ82" s="694" t="str">
        <f t="shared" ca="1" si="22"/>
        <v>B3</v>
      </c>
      <c r="BA82" s="696">
        <f t="shared" si="23"/>
        <v>20</v>
      </c>
    </row>
    <row r="83" spans="21:53" x14ac:dyDescent="0.25">
      <c r="AB83" s="773" t="s">
        <v>920</v>
      </c>
      <c r="AC83" s="774"/>
      <c r="AD83" s="774"/>
      <c r="AE83" s="774"/>
      <c r="AF83" s="774"/>
      <c r="AG83" s="774"/>
      <c r="AH83" s="774"/>
      <c r="AI83" s="774"/>
      <c r="AJ83" s="775"/>
      <c r="AK83" s="774"/>
      <c r="AL83" s="774"/>
      <c r="AM83" s="774"/>
      <c r="AN83" s="774"/>
      <c r="AO83" s="776" t="str">
        <f ca="1">Taal02!B48</f>
        <v>B4E1C2A1C4D4F2A3B3B2D2E4D3D1F3E3A2C3C1E2B1F4F1A4G1G2G3G4H1H2H3H4</v>
      </c>
      <c r="AP83" s="755"/>
      <c r="AQ83" s="710" t="str">
        <f ca="1">Voorblad!AA77</f>
        <v>D2</v>
      </c>
      <c r="AR83" s="711"/>
      <c r="AS83" s="693" t="str">
        <f ca="1">IF(AT83=$AR$11,$AQ$11,IF(AT83=$AR$12,$AQ$12,VLOOKUP(AT83,Voorblad!$X$67:$Z$98,2,FALSE)))</f>
        <v>Italië</v>
      </c>
      <c r="AT83" s="694" t="str">
        <f t="shared" ca="1" si="19"/>
        <v>B3</v>
      </c>
      <c r="AU83" s="693" t="str">
        <f ca="1">IF(AV83=$AR$11,$AQ$11,IF(AV83=$AR$12,$AQ$12,VLOOKUP(AV83,Voorblad!$X$67:$Z$98,2,FALSE)))</f>
        <v>Hongarije</v>
      </c>
      <c r="AV83" s="694" t="str">
        <f t="shared" ca="1" si="20"/>
        <v>A3</v>
      </c>
      <c r="AW83" s="693" t="str">
        <f ca="1">IF(AX83=$AR$11,$AQ$11,IF(AX83=$AR$12,$AQ$12,VLOOKUP(AX83,Voorblad!$X$67:$Z$98,2,FALSE)))</f>
        <v>Kroatië</v>
      </c>
      <c r="AX83" s="694" t="str">
        <f t="shared" ca="1" si="21"/>
        <v>B2</v>
      </c>
      <c r="AY83" s="693" t="str">
        <f ca="1">IF(AZ83=$AR$11,$AQ$11,IF(AZ83=$AR$12,$AQ$12,VLOOKUP(AZ83,Voorblad!$X$67:$Z$98,2,FALSE)))</f>
        <v>Kroatië</v>
      </c>
      <c r="AZ83" s="694" t="str">
        <f t="shared" ca="1" si="22"/>
        <v>B2</v>
      </c>
      <c r="BA83" s="696">
        <f t="shared" si="23"/>
        <v>22</v>
      </c>
    </row>
    <row r="84" spans="21:53" x14ac:dyDescent="0.25">
      <c r="AB84" s="266"/>
      <c r="AC84" s="266"/>
      <c r="AD84" s="266"/>
      <c r="AE84" s="266"/>
      <c r="AF84" s="266"/>
      <c r="AG84" s="268"/>
      <c r="AH84" s="266"/>
      <c r="AI84" s="266"/>
      <c r="AJ84" s="266"/>
      <c r="AK84" s="266"/>
      <c r="AL84" s="266"/>
      <c r="AM84" s="266"/>
      <c r="AN84" s="266"/>
      <c r="AO84" s="266"/>
      <c r="AP84" s="266"/>
      <c r="AQ84" s="710" t="str">
        <f ca="1">Voorblad!AA78</f>
        <v>E4</v>
      </c>
      <c r="AR84" s="711"/>
      <c r="AS84" s="693" t="str">
        <f ca="1">IF(AT84=$AR$11,$AQ$11,IF(AT84=$AR$12,$AQ$12,VLOOKUP(AT84,Voorblad!$X$67:$Z$98,2,FALSE)))</f>
        <v>Kroatië</v>
      </c>
      <c r="AT84" s="694" t="str">
        <f t="shared" ca="1" si="19"/>
        <v>B2</v>
      </c>
      <c r="AU84" s="693" t="str">
        <f ca="1">IF(AV84=$AR$11,$AQ$11,IF(AV84=$AR$12,$AQ$12,VLOOKUP(AV84,Voorblad!$X$67:$Z$98,2,FALSE)))</f>
        <v>Italië</v>
      </c>
      <c r="AV84" s="694" t="str">
        <f t="shared" ca="1" si="20"/>
        <v>B3</v>
      </c>
      <c r="AW84" s="693" t="str">
        <f ca="1">IF(AX84=$AR$11,$AQ$11,IF(AX84=$AR$12,$AQ$12,VLOOKUP(AX84,Voorblad!$X$67:$Z$98,2,FALSE)))</f>
        <v>Nederland</v>
      </c>
      <c r="AX84" s="694" t="str">
        <f t="shared" ca="1" si="21"/>
        <v>D2</v>
      </c>
      <c r="AY84" s="693" t="str">
        <f ca="1">IF(AZ84=$AR$11,$AQ$11,IF(AZ84=$AR$12,$AQ$12,VLOOKUP(AZ84,Voorblad!$X$67:$Z$98,2,FALSE)))</f>
        <v>Nederland</v>
      </c>
      <c r="AZ84" s="694" t="str">
        <f t="shared" ca="1" si="22"/>
        <v>D2</v>
      </c>
      <c r="BA84" s="696">
        <f t="shared" si="23"/>
        <v>24</v>
      </c>
    </row>
    <row r="85" spans="21:53" x14ac:dyDescent="0.25">
      <c r="AB85" s="720" t="s">
        <v>283</v>
      </c>
      <c r="AC85" s="1241" t="str">
        <f t="shared" ref="AC85:AC93" si="25">AM73</f>
        <v>suggestie - thuis</v>
      </c>
      <c r="AD85" s="1241"/>
      <c r="AE85" s="1241" t="str">
        <f t="shared" ref="AE85:AE93" si="26">AO73</f>
        <v>suggestie - uit</v>
      </c>
      <c r="AF85" s="1241"/>
      <c r="AG85" s="1241" t="s">
        <v>923</v>
      </c>
      <c r="AH85" s="1241"/>
      <c r="AI85" s="1241" t="s">
        <v>924</v>
      </c>
      <c r="AJ85" s="1241"/>
      <c r="AK85" s="720" t="s">
        <v>925</v>
      </c>
      <c r="AL85" s="720" t="s">
        <v>926</v>
      </c>
      <c r="AM85" s="1197" t="s">
        <v>922</v>
      </c>
      <c r="AN85" s="1197"/>
      <c r="AO85" s="721" t="s">
        <v>921</v>
      </c>
      <c r="AP85" s="266"/>
      <c r="AQ85" s="710" t="str">
        <f ca="1">Voorblad!AA79</f>
        <v>D3</v>
      </c>
      <c r="AR85" s="711"/>
      <c r="AS85" s="693" t="str">
        <f ca="1">IF(AT85=$AR$11,$AQ$11,IF(AT85=$AR$12,$AQ$12,VLOOKUP(AT85,Voorblad!$X$67:$Z$98,2,FALSE)))</f>
        <v>Nederland</v>
      </c>
      <c r="AT85" s="694" t="str">
        <f t="shared" ca="1" si="19"/>
        <v>D2</v>
      </c>
      <c r="AU85" s="693" t="str">
        <f ca="1">IF(AV85=$AR$11,$AQ$11,IF(AV85=$AR$12,$AQ$12,VLOOKUP(AV85,Voorblad!$X$67:$Z$98,2,FALSE)))</f>
        <v>Kroatië</v>
      </c>
      <c r="AV85" s="694" t="str">
        <f t="shared" ca="1" si="20"/>
        <v>B2</v>
      </c>
      <c r="AW85" s="693" t="str">
        <f ca="1">IF(AX85=$AR$11,$AQ$11,IF(AX85=$AR$12,$AQ$12,VLOOKUP(AX85,Voorblad!$X$67:$Z$98,2,FALSE)))</f>
        <v>Oekraïne</v>
      </c>
      <c r="AX85" s="694" t="str">
        <f t="shared" ca="1" si="21"/>
        <v>E4</v>
      </c>
      <c r="AY85" s="693" t="str">
        <f ca="1">IF(AZ85=$AR$11,$AQ$11,IF(AZ85=$AR$12,$AQ$12,VLOOKUP(AZ85,Voorblad!$X$67:$Z$98,2,FALSE)))</f>
        <v>Oekraïne</v>
      </c>
      <c r="AZ85" s="694" t="str">
        <f t="shared" ca="1" si="22"/>
        <v>E4</v>
      </c>
      <c r="BA85" s="696">
        <f t="shared" ref="BA85:BA105" si="27">BA84+2</f>
        <v>26</v>
      </c>
    </row>
    <row r="86" spans="21:53" x14ac:dyDescent="0.25">
      <c r="AB86" s="717">
        <f t="shared" ref="AB86:AB93" si="28">AB74</f>
        <v>38</v>
      </c>
      <c r="AC86" s="1238" t="str">
        <f ca="1">AM74</f>
        <v>A4</v>
      </c>
      <c r="AD86" s="1238"/>
      <c r="AE86" s="1238" t="str">
        <f t="shared" ca="1" si="26"/>
        <v>B2</v>
      </c>
      <c r="AF86" s="1238"/>
      <c r="AG86" s="1238" t="str">
        <f t="shared" ref="AG86:AG93" ca="1" si="29">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86)),$AQ$73,""),""),IF(ISERROR(SEARCH($AQ$74,AC86)),$AQ$74,""),""),IF(ISERROR(SEARCH($AQ$75,AC86)),$AQ$75,""),""),IF(ISERROR(SEARCH($AQ$76,AC86)),$AQ$76,""),""),IF(ISERROR(SEARCH($AQ$77,AC86)),$AQ$77,""),""),IF(ISERROR(SEARCH($AQ$78,AC86)),$AQ$78,""),""),IF(ISERROR(SEARCH($AQ$79,AC86)),$AQ$79,""),""),IF(ISERROR(SEARCH($AQ$80,AC86)),$AQ$80,""),""),IF(ISERROR(SEARCH($AQ$81,AC86)),$AQ$81,""),""),IF(ISERROR(SEARCH($AQ$82,AC86)),$AQ$82,""),""),IF(ISERROR(SEARCH($AQ$83,AC86)),$AQ$83,""),""),IF(ISERROR(SEARCH($AQ$84,AC86)),$AQ$84,""),""),IF(ISERROR(SEARCH($AQ$85,AC86)),$AQ$85,""),""),IF(ISERROR(SEARCH($AQ$86,AC86)),$AQ$86,""),""),IF(ISERROR(SEARCH($AQ$87,AC86)),$AQ$87,""),""),IF(ISERROR(SEARCH($AQ$88,AC86)),$AQ$88,""),""),IF(ISERROR(SEARCH($AQ$89,AC86)),$AQ$89,""),""),IF(ISERROR(SEARCH($AQ$90,AC86)),$AQ$90,""),""),IF(ISERROR(SEARCH($AQ$91,AC86)),$AQ$91,""),""),IF(ISERROR(SEARCH($AQ$92,AC86)),$AQ$92,""),""),IF(ISERROR(SEARCH($AQ$93,AC86)),$AQ$93,""),""),IF(ISERROR(SEARCH($AQ$94,AC86)),$AQ$94,""),""),IF(ISERROR(SEARCH($AQ$95,AC86)),$AQ$95,""),""),IF(ISERROR(SEARCH($AQ$96,AC86)),$AQ$96,""),""),IF(ISERROR(SEARCH($AQ$97,AC86)),$AQ$97,""),""),IF(ISERROR(SEARCH($AQ$98,AC86)),$AQ$98,""),""),IF(ISERROR(SEARCH($AQ$99,AC86)),$AQ$99,""),""),IF(ISERROR(SEARCH($AQ$100,AC86)),$AQ$100,""),""),IF(ISERROR(SEARCH($AQ$101,AC86)),$AQ$101,""),""),IF(ISERROR(SEARCH($AQ$102,AC86)),$AQ$102,""),""),IF(ISERROR(SEARCH($AQ$103,AC86)),$AQ$103,""),""),IF(ISERROR(SEARCH($AQ$104,AC86)),$AQ$104,""),"")</f>
        <v>A4</v>
      </c>
      <c r="AH86" s="1238"/>
      <c r="AI86" s="1238" t="str">
        <f t="shared" ref="AI86:AI93" ca="1" si="30">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86)),$AQ$73,""),""),IF(ISERROR(SEARCH($AQ$74,AE86)),$AQ$74,""),""),IF(ISERROR(SEARCH($AQ$75,AE86)),$AQ$75,""),""),IF(ISERROR(SEARCH($AQ$76,AE86)),$AQ$76,""),""),IF(ISERROR(SEARCH($AQ$77,AE86)),$AQ$77,""),""),IF(ISERROR(SEARCH($AQ$78,AE86)),$AQ$78,""),""),IF(ISERROR(SEARCH($AQ$79,AE86)),$AQ$79,""),""),IF(ISERROR(SEARCH($AQ$80,AE86)),$AQ$80,""),""),IF(ISERROR(SEARCH($AQ$81,AE86)),$AQ$81,""),""),IF(ISERROR(SEARCH($AQ$82,AE86)),$AQ$82,""),""),IF(ISERROR(SEARCH($AQ$83,AE86)),$AQ$83,""),""),IF(ISERROR(SEARCH($AQ$84,AE86)),$AQ$84,""),""),IF(ISERROR(SEARCH($AQ$85,AE86)),$AQ$85,""),""),IF(ISERROR(SEARCH($AQ$86,AE86)),$AQ$86,""),""),IF(ISERROR(SEARCH($AQ$87,AE86)),$AQ$87,""),""),IF(ISERROR(SEARCH($AQ$88,AE86)),$AQ$88,""),""),IF(ISERROR(SEARCH($AQ$89,AE86)),$AQ$89,""),""),IF(ISERROR(SEARCH($AQ$90,AE86)),$AQ$90,""),""),IF(ISERROR(SEARCH($AQ$91,AE86)),$AQ$91,""),""),IF(ISERROR(SEARCH($AQ$92,AE86)),$AQ$92,""),""),IF(ISERROR(SEARCH($AQ$93,AE86)),$AQ$93,""),""),IF(ISERROR(SEARCH($AQ$94,AE86)),$AQ$94,""),""),IF(ISERROR(SEARCH($AQ$95,AE86)),$AQ$95,""),""),IF(ISERROR(SEARCH($AQ$96,AE86)),$AQ$96,""),""),IF(ISERROR(SEARCH($AQ$97,AE86)),$AQ$97,""),""),IF(ISERROR(SEARCH($AQ$98,AE86)),$AQ$98,""),""),IF(ISERROR(SEARCH($AQ$99,AE86)),$AQ$99,""),""),IF(ISERROR(SEARCH($AQ$100,AE86)),$AQ$100,""),""),IF(ISERROR(SEARCH($AQ$101,AE86)),$AQ$101,""),""),IF(ISERROR(SEARCH($AQ$102,AE86)),$AQ$102,""),""),IF(ISERROR(SEARCH($AQ$103,AE86)),$AQ$103,""),""),IF(ISERROR(SEARCH($AQ$104,AE86)),$AQ$104,""),"")</f>
        <v>B2</v>
      </c>
      <c r="AJ86" s="1238"/>
      <c r="AK86" s="728" t="s">
        <v>927</v>
      </c>
      <c r="AL86" s="728" t="s">
        <v>927</v>
      </c>
      <c r="AM86" s="1238" t="str">
        <f ca="1">IF(AG86="","",IF(LEN(AG86)&gt;=2,VLOOKUP(LEFT(AG86,2),Voorblad!$X$67:$Y$98,2)&amp;IF(LEN(AG86)&gt;=4," / "&amp;VLOOKUP(RIGHT(LEFT(AG86,4),2),Voorblad!$X$67:$Y$98,2)&amp;IF(LEN(AG86)&gt;=6," / "&amp;VLOOKUP(RIGHT(LEFT(AG86,6),2),Voorblad!$X$67:$Y$98,2)&amp;IF(LEN(AG86)&gt;=8," / "&amp;VLOOKUP(RIGHT(LEFT(AG86,8),2),Voorblad!$X$67:$Y$98,2),""),""),""),""))</f>
        <v>Zwitserland</v>
      </c>
      <c r="AN86" s="1238"/>
      <c r="AO86" s="728" t="str">
        <f ca="1">IF(AI86="","",IF(LEN(AI86)&gt;=2,VLOOKUP(LEFT(AI86,2),Voorblad!$X$67:$Y$98,2)&amp;IF(LEN(AI86)&gt;=4," / "&amp;VLOOKUP(RIGHT(LEFT(AI86,4),2),Voorblad!$X$67:$Y$98,2)&amp;IF(LEN(AI86)&gt;=6," / "&amp;VLOOKUP(RIGHT(LEFT(AI86,6),2),Voorblad!$X$67:$Y$98,2)&amp;IF(LEN(AI86)&gt;=8," / "&amp;VLOOKUP(RIGHT(LEFT(AI86,8),2),Voorblad!$X$67:$Y$98,2),""),""),""),""))</f>
        <v>Kroatië</v>
      </c>
      <c r="AP86" s="266" t="s">
        <v>322</v>
      </c>
      <c r="AQ86" s="710" t="str">
        <f ca="1">Voorblad!AA80</f>
        <v>D1</v>
      </c>
      <c r="AR86" s="711"/>
      <c r="AS86" s="693" t="str">
        <f ca="1">IF(AT86=$AR$11,$AQ$11,IF(AT86=$AR$12,$AQ$12,VLOOKUP(AT86,Voorblad!$X$67:$Z$98,2,FALSE)))</f>
        <v>Oekraïne</v>
      </c>
      <c r="AT86" s="694" t="str">
        <f t="shared" ca="1" si="19"/>
        <v>E4</v>
      </c>
      <c r="AU86" s="693" t="str">
        <f ca="1">IF(AV86=$AR$11,$AQ$11,IF(AV86=$AR$12,$AQ$12,VLOOKUP(AV86,Voorblad!$X$67:$Z$98,2,FALSE)))</f>
        <v>Oekraïne</v>
      </c>
      <c r="AV86" s="694" t="str">
        <f t="shared" ca="1" si="20"/>
        <v>E4</v>
      </c>
      <c r="AW86" s="693" t="str">
        <f ca="1">IF(AX86=$AR$11,$AQ$11,IF(AX86=$AR$12,$AQ$12,VLOOKUP(AX86,Voorblad!$X$67:$Z$98,2,FALSE)))</f>
        <v>Oostenrijk</v>
      </c>
      <c r="AX86" s="694" t="str">
        <f t="shared" ca="1" si="21"/>
        <v>D3</v>
      </c>
      <c r="AY86" s="693" t="str">
        <f ca="1">IF(AZ86=$AR$11,$AQ$11,IF(AZ86=$AR$12,$AQ$12,VLOOKUP(AZ86,Voorblad!$X$67:$Z$98,2,FALSE)))</f>
        <v>Oostenrijk</v>
      </c>
      <c r="AZ86" s="694" t="str">
        <f t="shared" ca="1" si="22"/>
        <v>D3</v>
      </c>
      <c r="BA86" s="696">
        <f t="shared" si="27"/>
        <v>28</v>
      </c>
    </row>
    <row r="87" spans="21:53" x14ac:dyDescent="0.25">
      <c r="AB87" s="718">
        <f t="shared" si="28"/>
        <v>37</v>
      </c>
      <c r="AC87" s="1237" t="str">
        <f t="shared" ca="1" si="25"/>
        <v>A1</v>
      </c>
      <c r="AD87" s="1237"/>
      <c r="AE87" s="1237" t="str">
        <f t="shared" ca="1" si="26"/>
        <v>C2</v>
      </c>
      <c r="AF87" s="1237"/>
      <c r="AG87" s="1237" t="str">
        <f t="shared" ca="1" si="29"/>
        <v>A1</v>
      </c>
      <c r="AH87" s="1237"/>
      <c r="AI87" s="1237" t="str">
        <f t="shared" ca="1" si="30"/>
        <v>C2</v>
      </c>
      <c r="AJ87" s="1237"/>
      <c r="AK87" s="729" t="s">
        <v>927</v>
      </c>
      <c r="AL87" s="729" t="s">
        <v>927</v>
      </c>
      <c r="AM87" s="1237" t="str">
        <f ca="1">IF(AG87="","",IF(LEN(AG87)&gt;=2,VLOOKUP(LEFT(AG87,2),Voorblad!$X$67:$Y$98,2)&amp;IF(LEN(AG87)&gt;=4," / "&amp;VLOOKUP(RIGHT(LEFT(AG87,4),2),Voorblad!$X$67:$Y$98,2)&amp;IF(LEN(AG87)&gt;=6," / "&amp;VLOOKUP(RIGHT(LEFT(AG87,6),2),Voorblad!$X$67:$Y$98,2)&amp;IF(LEN(AG87)&gt;=8," / "&amp;VLOOKUP(RIGHT(LEFT(AG87,8),2),Voorblad!$X$67:$Y$98,2),""),""),""),""))</f>
        <v>Duitsland</v>
      </c>
      <c r="AN87" s="1237"/>
      <c r="AO87" s="729" t="str">
        <f ca="1">IF(AI87="","",IF(LEN(AI87)&gt;=2,VLOOKUP(LEFT(AI87,2),Voorblad!$X$67:$Y$98,2)&amp;IF(LEN(AI87)&gt;=4," / "&amp;VLOOKUP(RIGHT(LEFT(AI87,4),2),Voorblad!$X$67:$Y$98,2)&amp;IF(LEN(AI87)&gt;=6," / "&amp;VLOOKUP(RIGHT(LEFT(AI87,6),2),Voorblad!$X$67:$Y$98,2)&amp;IF(LEN(AI87)&gt;=8," / "&amp;VLOOKUP(RIGHT(LEFT(AI87,8),2),Voorblad!$X$67:$Y$98,2),""),""),""),""))</f>
        <v>Denemarken</v>
      </c>
      <c r="AP87" s="266" t="s">
        <v>322</v>
      </c>
      <c r="AQ87" s="710" t="str">
        <f ca="1">Voorblad!AA81</f>
        <v>F3</v>
      </c>
      <c r="AR87" s="711"/>
      <c r="AS87" s="693" t="str">
        <f ca="1">IF(AT87=$AR$11,$AQ$11,IF(AT87=$AR$12,$AQ$12,VLOOKUP(AT87,Voorblad!$X$67:$Z$98,2,FALSE)))</f>
        <v>Oostenrijk</v>
      </c>
      <c r="AT87" s="694" t="str">
        <f t="shared" ca="1" si="19"/>
        <v>D3</v>
      </c>
      <c r="AU87" s="693" t="str">
        <f ca="1">IF(AV87=$AR$11,$AQ$11,IF(AV87=$AR$12,$AQ$12,VLOOKUP(AV87,Voorblad!$X$67:$Z$98,2,FALSE)))</f>
        <v>Oostenrijk</v>
      </c>
      <c r="AV87" s="694" t="str">
        <f t="shared" ca="1" si="20"/>
        <v>D3</v>
      </c>
      <c r="AW87" s="693" t="str">
        <f ca="1">IF(AX87=$AR$11,$AQ$11,IF(AX87=$AR$12,$AQ$12,VLOOKUP(AX87,Voorblad!$X$67:$Z$98,2,FALSE)))</f>
        <v>Polen</v>
      </c>
      <c r="AX87" s="694" t="str">
        <f t="shared" ca="1" si="21"/>
        <v>D1</v>
      </c>
      <c r="AY87" s="693" t="str">
        <f ca="1">IF(AZ87=$AR$11,$AQ$11,IF(AZ87=$AR$12,$AQ$12,VLOOKUP(AZ87,Voorblad!$X$67:$Z$98,2,FALSE)))</f>
        <v>Polen</v>
      </c>
      <c r="AZ87" s="694" t="str">
        <f t="shared" ca="1" si="22"/>
        <v>D1</v>
      </c>
      <c r="BA87" s="696">
        <f t="shared" si="27"/>
        <v>30</v>
      </c>
    </row>
    <row r="88" spans="21:53" x14ac:dyDescent="0.25">
      <c r="U88" s="217"/>
      <c r="AB88" s="717">
        <f t="shared" si="28"/>
        <v>40</v>
      </c>
      <c r="AC88" s="1238" t="str">
        <f t="shared" ca="1" si="25"/>
        <v>C4</v>
      </c>
      <c r="AD88" s="1238"/>
      <c r="AE88" s="1238" t="str">
        <f t="shared" ca="1" si="26"/>
        <v>D3E2F4</v>
      </c>
      <c r="AF88" s="1238"/>
      <c r="AG88" s="1238" t="str">
        <f t="shared" ca="1" si="29"/>
        <v>C4</v>
      </c>
      <c r="AH88" s="1238"/>
      <c r="AI88" s="1238" t="str">
        <f t="shared" ca="1" si="30"/>
        <v>D3E2F4</v>
      </c>
      <c r="AJ88" s="1238"/>
      <c r="AK88" s="728" t="s">
        <v>927</v>
      </c>
      <c r="AL88" s="994" t="str">
        <f ca="1">AI88&amp;IF(AI88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G$92,IF(ISNUMBER(SEARCH($AQ$73,AE88)),$AQ$73,""),""),IF(ISNUMBER(SEARCH($AQ$74,AE88)),$AQ$74,""),""),IF(ISNUMBER(SEARCH($AQ$75,AE88)),$AQ$75,""),""),IF(ISNUMBER(SEARCH($AQ$76,AE88)),$AQ$76,""),""),IF(ISNUMBER(SEARCH($AQ$77,AE88)),$AQ$77,""),""),IF(ISNUMBER(SEARCH($AQ$78,AE88)),$AQ$78,""),""),IF(ISNUMBER(SEARCH($AQ$79,AE88)),$AQ$79,""),""),IF(ISNUMBER(SEARCH($AQ$80,AE88)),$AQ$80,""),""),IF(ISNUMBER(SEARCH($AQ$81,AE88)),$AQ$81,""),""),IF(ISNUMBER(SEARCH($AQ$82,AE88)),$AQ$82,""),""),IF(ISNUMBER(SEARCH($AQ$83,AE88)),$AQ$83,""),""),IF(ISNUMBER(SEARCH($AQ$84,AE88)),$AQ$84,""),""),IF(ISNUMBER(SEARCH($AQ$85,AE88)),$AQ$85,""),""),IF(ISNUMBER(SEARCH($AQ$86,AE88)),$AQ$86,""),""),IF(ISNUMBER(SEARCH($AQ$87,AE88)),$AQ$87,""),""),IF(ISNUMBER(SEARCH($AQ$88,AE88)),$AQ$88,""),""),IF(ISNUMBER(SEARCH($AQ$89,AE88)),$AQ$89,""),""),IF(ISNUMBER(SEARCH($AQ$90,AE88)),$AQ$90,""),""),IF(ISNUMBER(SEARCH($AQ$91,AE88)),$AQ$91,""),""),IF(ISNUMBER(SEARCH($AQ$92,AE88)),$AQ$92,""),""),IF(ISNUMBER(SEARCH($AQ$93,AE88)),$AQ$93,""),""),IF(ISNUMBER(SEARCH($AQ$94,AE88)),$AQ$94,""),""),IF(ISNUMBER(SEARCH($AQ$95,AE88)),$AQ$95,""),""),IF(ISNUMBER(SEARCH($AQ$96,AE88)),$AQ$96,""),""),IF(ISNUMBER(SEARCH($AQ$97,AE88)),$AQ$97,""),""),IF(ISNUMBER(SEARCH($AQ$98,AE88)),$AQ$98,""),""),IF(ISNUMBER(SEARCH($AQ$99,AE88)),$AQ$99,""),""),IF(ISNUMBER(SEARCH($AQ$100,AE88)),$AQ$100,""),""),IF(ISNUMBER(SEARCH($AQ$101,AE88)),$AQ$101,""),""),IF(ISNUMBER(SEARCH($AQ$102,AE88)),$AQ$102,""),""),IF(ISNUMBER(SEARCH($AQ$103,AE88)),$AQ$103,""),""),IF(ISNUMBER(SEARCH($AQ$104,AE88)),$AQ$104,""),"")&amp;REPT($AR$12,32)</f>
        <v>D3E2F4&amp;&amp;E1D4F2D2E4D1F3E3F1????????????????????????????????????????????????????????????????</v>
      </c>
      <c r="AM88" s="1238" t="str">
        <f ca="1">IF(AG88="","",IF(LEN(AG88)&gt;=2,VLOOKUP(LEFT(AG88,2),Voorblad!$X$67:$Y$98,2)&amp;IF(LEN(AG88)&gt;=4," / "&amp;VLOOKUP(RIGHT(LEFT(AG88,4),2),Voorblad!$X$67:$Y$98,2)&amp;IF(LEN(AG88)&gt;=6," / "&amp;VLOOKUP(RIGHT(LEFT(AG88,6),2),Voorblad!$X$67:$Y$98,2)&amp;IF(LEN(AG88)&gt;=8," / "&amp;VLOOKUP(RIGHT(LEFT(AG88,8),2),Voorblad!$X$67:$Y$98,2),""),""),""),""))</f>
        <v>Engeland</v>
      </c>
      <c r="AN88" s="1238"/>
      <c r="AO88" s="994" t="str">
        <f ca="1">IF(AI88="","",IF(LEN(AI88)&gt;=2,VLOOKUP(LEFT(AI88,2),Voorblad!$X$67:$Y$98,2)&amp;IF(LEN(AI88)&gt;=4," / "&amp;VLOOKUP(RIGHT(LEFT(AI88,4),2),Voorblad!$X$67:$Y$98,2)&amp;IF(LEN(AI88)&gt;=6," / "&amp;VLOOKUP(RIGHT(LEFT(AI88,6),2),Voorblad!$X$67:$Y$98,2)&amp;IF(LEN(AI88)&gt;=8," / "&amp;VLOOKUP(RIGHT(LEFT(AI88,8),2),Voorblad!$X$67:$Y$98,2)&amp;IF(LEN(AI88)&gt;=10," / "&amp;VLOOKUP(RIGHT(LEFT(AI88,10),2),Voorblad!$X$67:$Y$98,2)&amp;IF(LEN(AI88)&gt;=12," / "&amp;VLOOKUP(RIGHT(LEFT(AI88,12),2),Voorblad!$X$67:$Y$98,2)&amp;IF(LEN(AI88)&gt;=14," / "&amp;VLOOKUP(RIGHT(LEFT(AI88,14),2),Voorblad!$X$67:$Y$98,2)&amp;IF(LEN(AI88)&gt;=16," / "&amp;VLOOKUP(RIGHT(LEFT(AI88,16),2),Voorblad!$X$67:$Y$98,2)&amp;IF(LEN(AI88)&gt;=18," / "&amp;VLOOKUP(RIGHT(LEFT(AI88,18),2),Voorblad!$X$67:$Y$98,2)&amp;IF(LEN(AI88)&gt;=20," / "&amp;VLOOKUP(RIGHT(LEFT(AI88,20),2),Voorblad!$X$67:$Y$98,2)&amp;IF(LEN(AI88)&gt;=22," / "&amp;VLOOKUP(RIGHT(LEFT(AI88,22),2),Voorblad!$X$67:$Y$98,2)&amp;IF(LEN(AI88)&gt;=24," / "&amp;VLOOKUP(RIGHT(LEFT(AI88,24),2),Voorblad!$X$67:$Y$98,2)&amp;IF(LEN(AI88)&gt;=26," / "&amp;VLOOKUP(RIGHT(LEFT(AI88,26),2),Voorblad!$X$67:$Y$98,2)&amp;IF(LEN(AI88)&gt;=28," / "&amp;VLOOKUP(RIGHT(LEFT(AI88,28),2),Voorblad!$X$67:$Y$98,2)&amp;IF(LEN(AI88)&gt;=30," / "&amp;VLOOKUP(RIGHT(LEFT(AI88,30),2),Voorblad!$X$67:$Y$98,2)&amp;IF(LEN(AI88)&gt;=32," / "&amp;VLOOKUP(RIGHT(LEFT(AI88,32),2),Voorblad!$X$67:$Y$98,2),""),""),""),""),""),""),""),""),""),""),""),""),""),""),""),""))</f>
        <v>Oostenrijk / Slowakije / Tsjechië</v>
      </c>
      <c r="AP88" s="266" t="s">
        <v>322</v>
      </c>
      <c r="AQ88" s="710" t="str">
        <f ca="1">Voorblad!AA82</f>
        <v>E3</v>
      </c>
      <c r="AR88" s="711"/>
      <c r="AS88" s="693" t="str">
        <f ca="1">IF(AT88=$AR$11,$AQ$11,IF(AT88=$AR$12,$AQ$12,VLOOKUP(AT88,Voorblad!$X$67:$Z$98,2,FALSE)))</f>
        <v>Polen</v>
      </c>
      <c r="AT88" s="694" t="str">
        <f t="shared" ca="1" si="19"/>
        <v>D1</v>
      </c>
      <c r="AU88" s="693" t="str">
        <f ca="1">IF(AV88=$AR$11,$AQ$11,IF(AV88=$AR$12,$AQ$12,VLOOKUP(AV88,Voorblad!$X$67:$Z$98,2,FALSE)))</f>
        <v>Polen</v>
      </c>
      <c r="AV88" s="694" t="str">
        <f t="shared" ca="1" si="20"/>
        <v>D1</v>
      </c>
      <c r="AW88" s="693" t="str">
        <f ca="1">IF(AX88=$AR$11,$AQ$11,IF(AX88=$AR$12,$AQ$12,VLOOKUP(AX88,Voorblad!$X$67:$Z$98,2,FALSE)))</f>
        <v>Portugal</v>
      </c>
      <c r="AX88" s="694" t="str">
        <f t="shared" ca="1" si="21"/>
        <v>F3</v>
      </c>
      <c r="AY88" s="693" t="str">
        <f ca="1">IF(AZ88=$AR$11,$AQ$11,IF(AZ88=$AR$12,$AQ$12,VLOOKUP(AZ88,Voorblad!$X$67:$Z$98,2,FALSE)))</f>
        <v>Portugal</v>
      </c>
      <c r="AZ88" s="694" t="str">
        <f t="shared" ca="1" si="22"/>
        <v>F3</v>
      </c>
      <c r="BA88" s="696">
        <f t="shared" si="27"/>
        <v>32</v>
      </c>
    </row>
    <row r="89" spans="21:53" x14ac:dyDescent="0.25">
      <c r="U89" s="217"/>
      <c r="AB89" s="718">
        <f t="shared" si="28"/>
        <v>39</v>
      </c>
      <c r="AC89" s="1237" t="str">
        <f t="shared" ca="1" si="25"/>
        <v>B1</v>
      </c>
      <c r="AD89" s="1237"/>
      <c r="AE89" s="1237" t="str">
        <f t="shared" ca="1" si="26"/>
        <v>A3D3E2F4</v>
      </c>
      <c r="AF89" s="1237"/>
      <c r="AG89" s="1237" t="str">
        <f t="shared" ca="1" si="29"/>
        <v>B1</v>
      </c>
      <c r="AH89" s="1237"/>
      <c r="AI89" s="1237" t="str">
        <f t="shared" ca="1" si="30"/>
        <v>A3D3E2F4</v>
      </c>
      <c r="AJ89" s="1237"/>
      <c r="AK89" s="729" t="s">
        <v>927</v>
      </c>
      <c r="AL89" s="995" t="str">
        <f ca="1">AI89&amp;IF(AI89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H$92,IF(ISNUMBER(SEARCH($AQ$73,AE89)),$AQ$73,""),""),IF(ISNUMBER(SEARCH($AQ$74,AE89)),$AQ$74,""),""),IF(ISNUMBER(SEARCH($AQ$75,AE89)),$AQ$75,""),""),IF(ISNUMBER(SEARCH($AQ$76,AE89)),$AQ$76,""),""),IF(ISNUMBER(SEARCH($AQ$77,AE89)),$AQ$77,""),""),IF(ISNUMBER(SEARCH($AQ$78,AE89)),$AQ$78,""),""),IF(ISNUMBER(SEARCH($AQ$79,AE89)),$AQ$79,""),""),IF(ISNUMBER(SEARCH($AQ$80,AE89)),$AQ$80,""),""),IF(ISNUMBER(SEARCH($AQ$81,AE89)),$AQ$81,""),""),IF(ISNUMBER(SEARCH($AQ$82,AE89)),$AQ$82,""),""),IF(ISNUMBER(SEARCH($AQ$83,AE89)),$AQ$83,""),""),IF(ISNUMBER(SEARCH($AQ$84,AE89)),$AQ$84,""),""),IF(ISNUMBER(SEARCH($AQ$85,AE89)),$AQ$85,""),""),IF(ISNUMBER(SEARCH($AQ$86,AE89)),$AQ$86,""),""),IF(ISNUMBER(SEARCH($AQ$87,AE89)),$AQ$87,""),""),IF(ISNUMBER(SEARCH($AQ$88,AE89)),$AQ$88,""),""),IF(ISNUMBER(SEARCH($AQ$89,AE89)),$AQ$89,""),""),IF(ISNUMBER(SEARCH($AQ$90,AE89)),$AQ$90,""),""),IF(ISNUMBER(SEARCH($AQ$91,AE89)),$AQ$91,""),""),IF(ISNUMBER(SEARCH($AQ$92,AE89)),$AQ$92,""),""),IF(ISNUMBER(SEARCH($AQ$93,AE89)),$AQ$93,""),""),IF(ISNUMBER(SEARCH($AQ$94,AE89)),$AQ$94,""),""),IF(ISNUMBER(SEARCH($AQ$95,AE89)),$AQ$95,""),""),IF(ISNUMBER(SEARCH($AQ$96,AE89)),$AQ$96,""),""),IF(ISNUMBER(SEARCH($AQ$97,AE89)),$AQ$97,""),""),IF(ISNUMBER(SEARCH($AQ$98,AE89)),$AQ$98,""),""),IF(ISNUMBER(SEARCH($AQ$99,AE89)),$AQ$99,""),""),IF(ISNUMBER(SEARCH($AQ$100,AE89)),$AQ$100,""),""),IF(ISNUMBER(SEARCH($AQ$101,AE89)),$AQ$101,""),""),IF(ISNUMBER(SEARCH($AQ$102,AE89)),$AQ$102,""),""),IF(ISNUMBER(SEARCH($AQ$103,AE89)),$AQ$103,""),""),IF(ISNUMBER(SEARCH($AQ$104,AE89)),$AQ$104,""),"")&amp;REPT($AR$12,32)</f>
        <v>A3D3E2F4&amp;&amp;E1A1D4F2D2E4D1F3E3A2F1A4????????????????????????????????????????????????????????????????</v>
      </c>
      <c r="AM89" s="1237" t="str">
        <f ca="1">IF(AG89="","",IF(LEN(AG89)&gt;=2,VLOOKUP(LEFT(AG89,2),Voorblad!$X$67:$Y$98,2)&amp;IF(LEN(AG89)&gt;=4," / "&amp;VLOOKUP(RIGHT(LEFT(AG89,4),2),Voorblad!$X$67:$Y$98,2)&amp;IF(LEN(AG89)&gt;=6," / "&amp;VLOOKUP(RIGHT(LEFT(AG89,6),2),Voorblad!$X$67:$Y$98,2)&amp;IF(LEN(AG89)&gt;=8," / "&amp;VLOOKUP(RIGHT(LEFT(AG89,8),2),Voorblad!$X$67:$Y$98,2),""),""),""),""))</f>
        <v>Spanje</v>
      </c>
      <c r="AN89" s="1237"/>
      <c r="AO89" s="995" t="str">
        <f ca="1">IF(AI89="","",IF(LEN(AI89)&gt;=2,VLOOKUP(LEFT(AI89,2),Voorblad!$X$67:$Y$98,2)&amp;IF(LEN(AI89)&gt;=4," / "&amp;VLOOKUP(RIGHT(LEFT(AI89,4),2),Voorblad!$X$67:$Y$98,2)&amp;IF(LEN(AI89)&gt;=6," / "&amp;VLOOKUP(RIGHT(LEFT(AI89,6),2),Voorblad!$X$67:$Y$98,2)&amp;IF(LEN(AI89)&gt;=8," / "&amp;VLOOKUP(RIGHT(LEFT(AI89,8),2),Voorblad!$X$67:$Y$98,2)&amp;IF(LEN(AI89)&gt;=10," / "&amp;VLOOKUP(RIGHT(LEFT(AI89,10),2),Voorblad!$X$67:$Y$98,2)&amp;IF(LEN(AI89)&gt;=12," / "&amp;VLOOKUP(RIGHT(LEFT(AI89,12),2),Voorblad!$X$67:$Y$98,2)&amp;IF(LEN(AI89)&gt;=14," / "&amp;VLOOKUP(RIGHT(LEFT(AI89,14),2),Voorblad!$X$67:$Y$98,2)&amp;IF(LEN(AI89)&gt;=16," / "&amp;VLOOKUP(RIGHT(LEFT(AI89,16),2),Voorblad!$X$67:$Y$98,2)&amp;IF(LEN(AI89)&gt;=18," / "&amp;VLOOKUP(RIGHT(LEFT(AI89,18),2),Voorblad!$X$67:$Y$98,2)&amp;IF(LEN(AI89)&gt;=20," / "&amp;VLOOKUP(RIGHT(LEFT(AI89,20),2),Voorblad!$X$67:$Y$98,2)&amp;IF(LEN(AI89)&gt;=22," / "&amp;VLOOKUP(RIGHT(LEFT(AI89,22),2),Voorblad!$X$67:$Y$98,2)&amp;IF(LEN(AI89)&gt;=24," / "&amp;VLOOKUP(RIGHT(LEFT(AI89,24),2),Voorblad!$X$67:$Y$98,2)&amp;IF(LEN(AI89)&gt;=26," / "&amp;VLOOKUP(RIGHT(LEFT(AI89,26),2),Voorblad!$X$67:$Y$98,2)&amp;IF(LEN(AI89)&gt;=28," / "&amp;VLOOKUP(RIGHT(LEFT(AI89,28),2),Voorblad!$X$67:$Y$98,2)&amp;IF(LEN(AI89)&gt;=30," / "&amp;VLOOKUP(RIGHT(LEFT(AI89,30),2),Voorblad!$X$67:$Y$98,2)&amp;IF(LEN(AI89)&gt;=32," / "&amp;VLOOKUP(RIGHT(LEFT(AI89,32),2),Voorblad!$X$67:$Y$98,2),""),""),""),""),""),""),""),""),""),""),""),""),""),""),""),""))</f>
        <v>Hongarije / Oostenrijk / Slowakije / Tsjechië</v>
      </c>
      <c r="AP89" s="266" t="s">
        <v>322</v>
      </c>
      <c r="AQ89" s="710" t="str">
        <f ca="1">Voorblad!AA83</f>
        <v>A2</v>
      </c>
      <c r="AR89" s="711"/>
      <c r="AS89" s="693" t="str">
        <f ca="1">IF(AT89=$AR$11,$AQ$11,IF(AT89=$AR$12,$AQ$12,VLOOKUP(AT89,Voorblad!$X$67:$Z$98,2,FALSE)))</f>
        <v>Portugal</v>
      </c>
      <c r="AT89" s="694" t="str">
        <f t="shared" ca="1" si="19"/>
        <v>F3</v>
      </c>
      <c r="AU89" s="693" t="str">
        <f ca="1">IF(AV89=$AR$11,$AQ$11,IF(AV89=$AR$12,$AQ$12,VLOOKUP(AV89,Voorblad!$X$67:$Z$98,2,FALSE)))</f>
        <v>Roemenië</v>
      </c>
      <c r="AV89" s="694" t="str">
        <f t="shared" ca="1" si="20"/>
        <v>E3</v>
      </c>
      <c r="AW89" s="693" t="str">
        <f ca="1">IF(AX89=$AR$11,$AQ$11,IF(AX89=$AR$12,$AQ$12,VLOOKUP(AX89,Voorblad!$X$67:$Z$98,2,FALSE)))</f>
        <v>Roemenië</v>
      </c>
      <c r="AX89" s="694" t="str">
        <f t="shared" ca="1" si="21"/>
        <v>E3</v>
      </c>
      <c r="AY89" s="693" t="str">
        <f ca="1">IF(AZ89=$AR$11,$AQ$11,IF(AZ89=$AR$12,$AQ$12,VLOOKUP(AZ89,Voorblad!$X$67:$Z$98,2,FALSE)))</f>
        <v>Roemenië</v>
      </c>
      <c r="AZ89" s="694" t="str">
        <f t="shared" ca="1" si="22"/>
        <v>E3</v>
      </c>
      <c r="BA89" s="696">
        <f t="shared" si="27"/>
        <v>34</v>
      </c>
    </row>
    <row r="90" spans="21:53" x14ac:dyDescent="0.25">
      <c r="U90" s="217"/>
      <c r="AB90" s="717">
        <f t="shared" si="28"/>
        <v>42</v>
      </c>
      <c r="AC90" s="1238" t="str">
        <f t="shared" ca="1" si="25"/>
        <v>D2</v>
      </c>
      <c r="AD90" s="1238"/>
      <c r="AE90" s="1238" t="str">
        <f t="shared" ca="1" si="26"/>
        <v>E4</v>
      </c>
      <c r="AF90" s="1238"/>
      <c r="AG90" s="1238" t="str">
        <f t="shared" ca="1" si="29"/>
        <v>D2</v>
      </c>
      <c r="AH90" s="1238"/>
      <c r="AI90" s="1238" t="str">
        <f t="shared" ca="1" si="30"/>
        <v>E4</v>
      </c>
      <c r="AJ90" s="1238"/>
      <c r="AK90" s="728" t="s">
        <v>927</v>
      </c>
      <c r="AL90" s="728" t="s">
        <v>927</v>
      </c>
      <c r="AM90" s="1238" t="str">
        <f ca="1">IF(AG90="","",IF(LEN(AG90)&gt;=2,VLOOKUP(LEFT(AG90,2),Voorblad!$X$67:$Y$98,2)&amp;IF(LEN(AG90)&gt;=4," / "&amp;VLOOKUP(RIGHT(LEFT(AG90,4),2),Voorblad!$X$67:$Y$98,2)&amp;IF(LEN(AG90)&gt;=6," / "&amp;VLOOKUP(RIGHT(LEFT(AG90,6),2),Voorblad!$X$67:$Y$98,2)&amp;IF(LEN(AG90)&gt;=8," / "&amp;VLOOKUP(RIGHT(LEFT(AG90,8),2),Voorblad!$X$67:$Y$98,2),""),""),""),""))</f>
        <v>Nederland</v>
      </c>
      <c r="AN90" s="1238"/>
      <c r="AO90" s="728" t="str">
        <f ca="1">IF(AI90="","",IF(LEN(AI90)&gt;=2,VLOOKUP(LEFT(AI90,2),Voorblad!$X$67:$Y$98,2)&amp;IF(LEN(AI90)&gt;=4," / "&amp;VLOOKUP(RIGHT(LEFT(AI90,4),2),Voorblad!$X$67:$Y$98,2)&amp;IF(LEN(AI90)&gt;=6," / "&amp;VLOOKUP(RIGHT(LEFT(AI90,6),2),Voorblad!$X$67:$Y$98,2)&amp;IF(LEN(AI90)&gt;=8," / "&amp;VLOOKUP(RIGHT(LEFT(AI90,8),2),Voorblad!$X$67:$Y$98,2),""),""),""),""))</f>
        <v>Oekraïne</v>
      </c>
      <c r="AP90" s="266" t="s">
        <v>322</v>
      </c>
      <c r="AQ90" s="710" t="str">
        <f ca="1">Voorblad!AA84</f>
        <v>C3</v>
      </c>
      <c r="AR90" s="711"/>
      <c r="AS90" s="693" t="str">
        <f ca="1">IF(AT90=$AR$11,$AQ$11,IF(AT90=$AR$12,$AQ$12,VLOOKUP(AT90,Voorblad!$X$67:$Z$98,2,FALSE)))</f>
        <v>Roemenië</v>
      </c>
      <c r="AT90" s="694" t="str">
        <f t="shared" ca="1" si="19"/>
        <v>E3</v>
      </c>
      <c r="AU90" s="693" t="str">
        <f ca="1">IF(AV90=$AR$11,$AQ$11,IF(AV90=$AR$12,$AQ$12,VLOOKUP(AV90,Voorblad!$X$67:$Z$98,2,FALSE)))</f>
        <v>Schotland</v>
      </c>
      <c r="AV90" s="694" t="str">
        <f t="shared" ca="1" si="20"/>
        <v>A2</v>
      </c>
      <c r="AW90" s="693" t="str">
        <f ca="1">IF(AX90=$AR$11,$AQ$11,IF(AX90=$AR$12,$AQ$12,VLOOKUP(AX90,Voorblad!$X$67:$Z$98,2,FALSE)))</f>
        <v>Schotland</v>
      </c>
      <c r="AX90" s="694" t="str">
        <f t="shared" ca="1" si="21"/>
        <v>A2</v>
      </c>
      <c r="AY90" s="693" t="str">
        <f ca="1">IF(AZ90=$AR$11,$AQ$11,IF(AZ90=$AR$12,$AQ$12,VLOOKUP(AZ90,Voorblad!$X$67:$Z$98,2,FALSE)))</f>
        <v>Schotland</v>
      </c>
      <c r="AZ90" s="694" t="str">
        <f t="shared" ca="1" si="22"/>
        <v>A2</v>
      </c>
      <c r="BA90" s="696">
        <f t="shared" si="27"/>
        <v>36</v>
      </c>
    </row>
    <row r="91" spans="21:53" x14ac:dyDescent="0.25">
      <c r="U91" s="217"/>
      <c r="AB91" s="718">
        <f t="shared" si="28"/>
        <v>41</v>
      </c>
      <c r="AC91" s="1237" t="str">
        <f t="shared" ca="1" si="25"/>
        <v>F3</v>
      </c>
      <c r="AD91" s="1237"/>
      <c r="AE91" s="1237" t="str">
        <f t="shared" ca="1" si="26"/>
        <v>A3B3C3</v>
      </c>
      <c r="AF91" s="1237"/>
      <c r="AG91" s="1237" t="str">
        <f t="shared" ca="1" si="29"/>
        <v>F3</v>
      </c>
      <c r="AH91" s="1237"/>
      <c r="AI91" s="1237" t="str">
        <f t="shared" ca="1" si="30"/>
        <v>A3B3C3</v>
      </c>
      <c r="AJ91" s="1237"/>
      <c r="AK91" s="729" t="s">
        <v>927</v>
      </c>
      <c r="AL91" s="995" t="str">
        <f ca="1">AI91&amp;IF(AI91="","",$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I$92,IF(ISNUMBER(SEARCH($AQ$73,AE91)),$AQ$73,""),""),IF(ISNUMBER(SEARCH($AQ$74,AE91)),$AQ$74,""),""),IF(ISNUMBER(SEARCH($AQ$75,AE91)),$AQ$75,""),""),IF(ISNUMBER(SEARCH($AQ$76,AE91)),$AQ$76,""),""),IF(ISNUMBER(SEARCH($AQ$77,AE91)),$AQ$77,""),""),IF(ISNUMBER(SEARCH($AQ$78,AE91)),$AQ$78,""),""),IF(ISNUMBER(SEARCH($AQ$79,AE91)),$AQ$79,""),""),IF(ISNUMBER(SEARCH($AQ$80,AE91)),$AQ$80,""),""),IF(ISNUMBER(SEARCH($AQ$81,AE91)),$AQ$81,""),""),IF(ISNUMBER(SEARCH($AQ$82,AE91)),$AQ$82,""),""),IF(ISNUMBER(SEARCH($AQ$83,AE91)),$AQ$83,""),""),IF(ISNUMBER(SEARCH($AQ$84,AE91)),$AQ$84,""),""),IF(ISNUMBER(SEARCH($AQ$85,AE91)),$AQ$85,""),""),IF(ISNUMBER(SEARCH($AQ$86,AE91)),$AQ$86,""),""),IF(ISNUMBER(SEARCH($AQ$87,AE91)),$AQ$87,""),""),IF(ISNUMBER(SEARCH($AQ$88,AE91)),$AQ$88,""),""),IF(ISNUMBER(SEARCH($AQ$89,AE91)),$AQ$89,""),""),IF(ISNUMBER(SEARCH($AQ$90,AE91)),$AQ$90,""),""),IF(ISNUMBER(SEARCH($AQ$91,AE91)),$AQ$91,""),""),IF(ISNUMBER(SEARCH($AQ$92,AE91)),$AQ$92,""),""),IF(ISNUMBER(SEARCH($AQ$93,AE91)),$AQ$93,""),""),IF(ISNUMBER(SEARCH($AQ$94,AE91)),$AQ$94,""),""),IF(ISNUMBER(SEARCH($AQ$95,AE91)),$AQ$95,""),""),IF(ISNUMBER(SEARCH($AQ$96,AE91)),$AQ$96,""),""),IF(ISNUMBER(SEARCH($AQ$97,AE91)),$AQ$97,""),""),IF(ISNUMBER(SEARCH($AQ$98,AE91)),$AQ$98,""),""),IF(ISNUMBER(SEARCH($AQ$99,AE91)),$AQ$99,""),""),IF(ISNUMBER(SEARCH($AQ$100,AE91)),$AQ$100,""),""),IF(ISNUMBER(SEARCH($AQ$101,AE91)),$AQ$101,""),""),IF(ISNUMBER(SEARCH($AQ$102,AE91)),$AQ$102,""),""),IF(ISNUMBER(SEARCH($AQ$103,AE91)),$AQ$103,""),""),IF(ISNUMBER(SEARCH($AQ$104,AE91)),$AQ$104,""),"")&amp;REPT($AR$12,32)</f>
        <v>A3B3C3&amp;&amp;B4C2A1C4B2A2C1B1A4????????????????????????????????????????????????????????????????</v>
      </c>
      <c r="AM91" s="1237" t="str">
        <f ca="1">IF(AG91="","",IF(LEN(AG91)&gt;=2,VLOOKUP(LEFT(AG91,2),Voorblad!$X$67:$Y$98,2)&amp;IF(LEN(AG91)&gt;=4," / "&amp;VLOOKUP(RIGHT(LEFT(AG91,4),2),Voorblad!$X$67:$Y$98,2)&amp;IF(LEN(AG91)&gt;=6," / "&amp;VLOOKUP(RIGHT(LEFT(AG91,6),2),Voorblad!$X$67:$Y$98,2)&amp;IF(LEN(AG91)&gt;=8," / "&amp;VLOOKUP(RIGHT(LEFT(AG91,8),2),Voorblad!$X$67:$Y$98,2),""),""),""),""))</f>
        <v>Portugal</v>
      </c>
      <c r="AN91" s="1237"/>
      <c r="AO91" s="995" t="str">
        <f ca="1">IF(AI91="","",IF(LEN(AI91)&gt;=2,VLOOKUP(LEFT(AI91,2),Voorblad!$X$67:$Y$98,2)&amp;IF(LEN(AI91)&gt;=4," / "&amp;VLOOKUP(RIGHT(LEFT(AI91,4),2),Voorblad!$X$67:$Y$98,2)&amp;IF(LEN(AI91)&gt;=6," / "&amp;VLOOKUP(RIGHT(LEFT(AI91,6),2),Voorblad!$X$67:$Y$98,2)&amp;IF(LEN(AI91)&gt;=8," / "&amp;VLOOKUP(RIGHT(LEFT(AI91,8),2),Voorblad!$X$67:$Y$98,2)&amp;IF(LEN(AI91)&gt;=10," / "&amp;VLOOKUP(RIGHT(LEFT(AI91,10),2),Voorblad!$X$67:$Y$98,2)&amp;IF(LEN(AI91)&gt;=12," / "&amp;VLOOKUP(RIGHT(LEFT(AI91,12),2),Voorblad!$X$67:$Y$98,2)&amp;IF(LEN(AI91)&gt;=14," / "&amp;VLOOKUP(RIGHT(LEFT(AI91,14),2),Voorblad!$X$67:$Y$98,2)&amp;IF(LEN(AI91)&gt;=16," / "&amp;VLOOKUP(RIGHT(LEFT(AI91,16),2),Voorblad!$X$67:$Y$98,2)&amp;IF(LEN(AI91)&gt;=18," / "&amp;VLOOKUP(RIGHT(LEFT(AI91,18),2),Voorblad!$X$67:$Y$98,2)&amp;IF(LEN(AI91)&gt;=20," / "&amp;VLOOKUP(RIGHT(LEFT(AI91,20),2),Voorblad!$X$67:$Y$98,2)&amp;IF(LEN(AI91)&gt;=22," / "&amp;VLOOKUP(RIGHT(LEFT(AI91,22),2),Voorblad!$X$67:$Y$98,2)&amp;IF(LEN(AI91)&gt;=24," / "&amp;VLOOKUP(RIGHT(LEFT(AI91,24),2),Voorblad!$X$67:$Y$98,2)&amp;IF(LEN(AI91)&gt;=26," / "&amp;VLOOKUP(RIGHT(LEFT(AI91,26),2),Voorblad!$X$67:$Y$98,2)&amp;IF(LEN(AI91)&gt;=28," / "&amp;VLOOKUP(RIGHT(LEFT(AI91,28),2),Voorblad!$X$67:$Y$98,2)&amp;IF(LEN(AI91)&gt;=30," / "&amp;VLOOKUP(RIGHT(LEFT(AI91,30),2),Voorblad!$X$67:$Y$98,2)&amp;IF(LEN(AI91)&gt;=32," / "&amp;VLOOKUP(RIGHT(LEFT(AI91,32),2),Voorblad!$X$67:$Y$98,2),""),""),""),""),""),""),""),""),""),""),""),""),""),""),""),""))</f>
        <v>Hongarije / Italië / Servië</v>
      </c>
      <c r="AP91" s="266" t="s">
        <v>322</v>
      </c>
      <c r="AQ91" s="710" t="str">
        <f ca="1">Voorblad!AA85</f>
        <v>C1</v>
      </c>
      <c r="AR91" s="711"/>
      <c r="AS91" s="693" t="str">
        <f ca="1">IF(AT91=$AR$11,$AQ$11,IF(AT91=$AR$12,$AQ$12,VLOOKUP(AT91,Voorblad!$X$67:$Z$98,2,FALSE)))</f>
        <v>Schotland</v>
      </c>
      <c r="AT91" s="694" t="str">
        <f t="shared" ca="1" si="19"/>
        <v>A2</v>
      </c>
      <c r="AU91" s="693" t="str">
        <f ca="1">IF(AV91=$AR$11,$AQ$11,IF(AV91=$AR$12,$AQ$12,VLOOKUP(AV91,Voorblad!$X$67:$Z$98,2,FALSE)))</f>
        <v>Servië</v>
      </c>
      <c r="AV91" s="694" t="str">
        <f t="shared" ca="1" si="20"/>
        <v>C3</v>
      </c>
      <c r="AW91" s="693" t="str">
        <f ca="1">IF(AX91=$AR$11,$AQ$11,IF(AX91=$AR$12,$AQ$12,VLOOKUP(AX91,Voorblad!$X$67:$Z$98,2,FALSE)))</f>
        <v>Servië</v>
      </c>
      <c r="AX91" s="694" t="str">
        <f t="shared" ca="1" si="21"/>
        <v>C3</v>
      </c>
      <c r="AY91" s="693" t="str">
        <f ca="1">IF(AZ91=$AR$11,$AQ$11,IF(AZ91=$AR$12,$AQ$12,VLOOKUP(AZ91,Voorblad!$X$67:$Z$98,2,FALSE)))</f>
        <v>Servië</v>
      </c>
      <c r="AZ91" s="694" t="str">
        <f t="shared" ca="1" si="22"/>
        <v>C3</v>
      </c>
      <c r="BA91" s="696">
        <f t="shared" si="27"/>
        <v>38</v>
      </c>
    </row>
    <row r="92" spans="21:53" x14ac:dyDescent="0.25">
      <c r="U92" s="217"/>
      <c r="AB92" s="717">
        <f t="shared" si="28"/>
        <v>43</v>
      </c>
      <c r="AC92" s="1238" t="str">
        <f t="shared" ca="1" si="25"/>
        <v>E1</v>
      </c>
      <c r="AD92" s="1238"/>
      <c r="AE92" s="1238" t="str">
        <f t="shared" ca="1" si="26"/>
        <v>A3B3C3D3</v>
      </c>
      <c r="AF92" s="1238"/>
      <c r="AG92" s="1238" t="str">
        <f t="shared" ca="1" si="29"/>
        <v>E1</v>
      </c>
      <c r="AH92" s="1238"/>
      <c r="AI92" s="1238" t="str">
        <f t="shared" ca="1" si="30"/>
        <v>A3B3D3C3</v>
      </c>
      <c r="AJ92" s="1238"/>
      <c r="AK92" s="728" t="s">
        <v>927</v>
      </c>
      <c r="AL92" s="994" t="str">
        <f ca="1">AI92&amp;IF(AI92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J$92,IF(ISNUMBER(SEARCH($AQ$73,AE92)),$AQ$73,""),""),IF(ISNUMBER(SEARCH($AQ$74,AE92)),$AQ$74,""),""),IF(ISNUMBER(SEARCH($AQ$75,AE92)),$AQ$75,""),""),IF(ISNUMBER(SEARCH($AQ$76,AE92)),$AQ$76,""),""),IF(ISNUMBER(SEARCH($AQ$77,AE92)),$AQ$77,""),""),IF(ISNUMBER(SEARCH($AQ$78,AE92)),$AQ$78,""),""),IF(ISNUMBER(SEARCH($AQ$79,AE92)),$AQ$79,""),""),IF(ISNUMBER(SEARCH($AQ$80,AE92)),$AQ$80,""),""),IF(ISNUMBER(SEARCH($AQ$81,AE92)),$AQ$81,""),""),IF(ISNUMBER(SEARCH($AQ$82,AE92)),$AQ$82,""),""),IF(ISNUMBER(SEARCH($AQ$83,AE92)),$AQ$83,""),""),IF(ISNUMBER(SEARCH($AQ$84,AE92)),$AQ$84,""),""),IF(ISNUMBER(SEARCH($AQ$85,AE92)),$AQ$85,""),""),IF(ISNUMBER(SEARCH($AQ$86,AE92)),$AQ$86,""),""),IF(ISNUMBER(SEARCH($AQ$87,AE92)),$AQ$87,""),""),IF(ISNUMBER(SEARCH($AQ$88,AE92)),$AQ$88,""),""),IF(ISNUMBER(SEARCH($AQ$89,AE92)),$AQ$89,""),""),IF(ISNUMBER(SEARCH($AQ$90,AE92)),$AQ$90,""),""),IF(ISNUMBER(SEARCH($AQ$91,AE92)),$AQ$91,""),""),IF(ISNUMBER(SEARCH($AQ$92,AE92)),$AQ$92,""),""),IF(ISNUMBER(SEARCH($AQ$93,AE92)),$AQ$93,""),""),IF(ISNUMBER(SEARCH($AQ$94,AE92)),$AQ$94,""),""),IF(ISNUMBER(SEARCH($AQ$95,AE92)),$AQ$95,""),""),IF(ISNUMBER(SEARCH($AQ$96,AE92)),$AQ$96,""),""),IF(ISNUMBER(SEARCH($AQ$97,AE92)),$AQ$97,""),""),IF(ISNUMBER(SEARCH($AQ$98,AE92)),$AQ$98,""),""),IF(ISNUMBER(SEARCH($AQ$99,AE92)),$AQ$99,""),""),IF(ISNUMBER(SEARCH($AQ$100,AE92)),$AQ$100,""),""),IF(ISNUMBER(SEARCH($AQ$101,AE92)),$AQ$101,""),""),IF(ISNUMBER(SEARCH($AQ$102,AE92)),$AQ$102,""),""),IF(ISNUMBER(SEARCH($AQ$103,AE92)),$AQ$103,""),""),IF(ISNUMBER(SEARCH($AQ$104,AE92)),$AQ$104,""),"")&amp;REPT($AR$12,32)</f>
        <v>A3B3D3C3&amp;&amp;B4C2A1C4D4B2D2D1A2C1B1A4????????????????????????????????????????????????????????????????</v>
      </c>
      <c r="AM92" s="1238" t="str">
        <f ca="1">IF(AG92="","",IF(LEN(AG92)&gt;=2,VLOOKUP(LEFT(AG92,2),Voorblad!$X$67:$Y$98,2)&amp;IF(LEN(AG92)&gt;=4," / "&amp;VLOOKUP(RIGHT(LEFT(AG92,4),2),Voorblad!$X$67:$Y$98,2)&amp;IF(LEN(AG92)&gt;=6," / "&amp;VLOOKUP(RIGHT(LEFT(AG92,6),2),Voorblad!$X$67:$Y$98,2)&amp;IF(LEN(AG92)&gt;=8," / "&amp;VLOOKUP(RIGHT(LEFT(AG92,8),2),Voorblad!$X$67:$Y$98,2),""),""),""),""))</f>
        <v>België</v>
      </c>
      <c r="AN92" s="1238"/>
      <c r="AO92" s="994" t="str">
        <f ca="1">IF(AI92="","",IF(LEN(AI92)&gt;=2,VLOOKUP(LEFT(AI92,2),Voorblad!$X$67:$Y$98,2)&amp;IF(LEN(AI92)&gt;=4," / "&amp;VLOOKUP(RIGHT(LEFT(AI92,4),2),Voorblad!$X$67:$Y$98,2)&amp;IF(LEN(AI92)&gt;=6," / "&amp;VLOOKUP(RIGHT(LEFT(AI92,6),2),Voorblad!$X$67:$Y$98,2)&amp;IF(LEN(AI92)&gt;=8," / "&amp;VLOOKUP(RIGHT(LEFT(AI92,8),2),Voorblad!$X$67:$Y$98,2)&amp;IF(LEN(AI92)&gt;=10," / "&amp;VLOOKUP(RIGHT(LEFT(AI92,10),2),Voorblad!$X$67:$Y$98,2)&amp;IF(LEN(AI92)&gt;=12," / "&amp;VLOOKUP(RIGHT(LEFT(AI92,12),2),Voorblad!$X$67:$Y$98,2)&amp;IF(LEN(AI92)&gt;=14," / "&amp;VLOOKUP(RIGHT(LEFT(AI92,14),2),Voorblad!$X$67:$Y$98,2)&amp;IF(LEN(AI92)&gt;=16," / "&amp;VLOOKUP(RIGHT(LEFT(AI92,16),2),Voorblad!$X$67:$Y$98,2)&amp;IF(LEN(AI92)&gt;=18," / "&amp;VLOOKUP(RIGHT(LEFT(AI92,18),2),Voorblad!$X$67:$Y$98,2)&amp;IF(LEN(AI92)&gt;=20," / "&amp;VLOOKUP(RIGHT(LEFT(AI92,20),2),Voorblad!$X$67:$Y$98,2)&amp;IF(LEN(AI92)&gt;=22," / "&amp;VLOOKUP(RIGHT(LEFT(AI92,22),2),Voorblad!$X$67:$Y$98,2)&amp;IF(LEN(AI92)&gt;=24," / "&amp;VLOOKUP(RIGHT(LEFT(AI92,24),2),Voorblad!$X$67:$Y$98,2)&amp;IF(LEN(AI92)&gt;=26," / "&amp;VLOOKUP(RIGHT(LEFT(AI92,26),2),Voorblad!$X$67:$Y$98,2)&amp;IF(LEN(AI92)&gt;=28," / "&amp;VLOOKUP(RIGHT(LEFT(AI92,28),2),Voorblad!$X$67:$Y$98,2)&amp;IF(LEN(AI92)&gt;=30," / "&amp;VLOOKUP(RIGHT(LEFT(AI92,30),2),Voorblad!$X$67:$Y$98,2)&amp;IF(LEN(AI92)&gt;=32," / "&amp;VLOOKUP(RIGHT(LEFT(AI92,32),2),Voorblad!$X$67:$Y$98,2),""),""),""),""),""),""),""),""),""),""),""),""),""),""),""),""))</f>
        <v>Hongarije / Italië / Oostenrijk / Servië</v>
      </c>
      <c r="AP92" s="266" t="s">
        <v>322</v>
      </c>
      <c r="AQ92" s="710" t="str">
        <f ca="1">Voorblad!AA86</f>
        <v>E2</v>
      </c>
      <c r="AR92" s="711"/>
      <c r="AS92" s="693" t="str">
        <f ca="1">IF(AT92=$AR$11,$AQ$11,IF(AT92=$AR$12,$AQ$12,VLOOKUP(AT92,Voorblad!$X$67:$Z$98,2,FALSE)))</f>
        <v>Servië</v>
      </c>
      <c r="AT92" s="694" t="str">
        <f t="shared" ca="1" si="19"/>
        <v>C3</v>
      </c>
      <c r="AU92" s="693" t="str">
        <f ca="1">IF(AV92=$AR$11,$AQ$11,IF(AV92=$AR$12,$AQ$12,VLOOKUP(AV92,Voorblad!$X$67:$Z$98,2,FALSE)))</f>
        <v>Slovenië</v>
      </c>
      <c r="AV92" s="694" t="str">
        <f t="shared" ca="1" si="20"/>
        <v>C1</v>
      </c>
      <c r="AW92" s="693" t="str">
        <f ca="1">IF(AX92=$AR$11,$AQ$11,IF(AX92=$AR$12,$AQ$12,VLOOKUP(AX92,Voorblad!$X$67:$Z$98,2,FALSE)))</f>
        <v>Slovenië</v>
      </c>
      <c r="AX92" s="694" t="str">
        <f t="shared" ca="1" si="21"/>
        <v>C1</v>
      </c>
      <c r="AY92" s="693" t="str">
        <f ca="1">IF(AZ92=$AR$11,$AQ$11,IF(AZ92=$AR$12,$AQ$12,VLOOKUP(AZ92,Voorblad!$X$67:$Z$98,2,FALSE)))</f>
        <v>Slovenië</v>
      </c>
      <c r="AZ92" s="694" t="str">
        <f t="shared" ca="1" si="22"/>
        <v>C1</v>
      </c>
      <c r="BA92" s="696">
        <f t="shared" si="27"/>
        <v>40</v>
      </c>
    </row>
    <row r="93" spans="21:53" x14ac:dyDescent="0.25">
      <c r="U93" s="217"/>
      <c r="AB93" s="718">
        <f t="shared" si="28"/>
        <v>44</v>
      </c>
      <c r="AC93" s="1237" t="str">
        <f t="shared" ca="1" si="25"/>
        <v>D4</v>
      </c>
      <c r="AD93" s="1237"/>
      <c r="AE93" s="1237" t="str">
        <f t="shared" ca="1" si="26"/>
        <v>F1</v>
      </c>
      <c r="AF93" s="1237"/>
      <c r="AG93" s="1237" t="str">
        <f t="shared" ca="1" si="29"/>
        <v>D4</v>
      </c>
      <c r="AH93" s="1237"/>
      <c r="AI93" s="1237" t="str">
        <f t="shared" ca="1" si="30"/>
        <v>F1</v>
      </c>
      <c r="AJ93" s="1237"/>
      <c r="AK93" s="729" t="s">
        <v>927</v>
      </c>
      <c r="AL93" s="729" t="s">
        <v>927</v>
      </c>
      <c r="AM93" s="1237" t="str">
        <f ca="1">IF(AG93="","",IF(LEN(AG93)&gt;=2,VLOOKUP(LEFT(AG93,2),Voorblad!$X$67:$Y$98,2)&amp;IF(LEN(AG93)&gt;=4," / "&amp;VLOOKUP(RIGHT(LEFT(AG93,4),2),Voorblad!$X$67:$Y$98,2)&amp;IF(LEN(AG93)&gt;=6," / "&amp;VLOOKUP(RIGHT(LEFT(AG93,6),2),Voorblad!$X$67:$Y$98,2)&amp;IF(LEN(AG93)&gt;=8," / "&amp;VLOOKUP(RIGHT(LEFT(AG93,8),2),Voorblad!$X$67:$Y$98,2),""),""),""),""))</f>
        <v>Frankrijk</v>
      </c>
      <c r="AN93" s="1237"/>
      <c r="AO93" s="729" t="str">
        <f ca="1">IF(AI93="","",IF(LEN(AI93)&gt;=2,VLOOKUP(LEFT(AI93,2),Voorblad!$X$67:$Y$98,2)&amp;IF(LEN(AI93)&gt;=4," / "&amp;VLOOKUP(RIGHT(LEFT(AI93,4),2),Voorblad!$X$67:$Y$98,2)&amp;IF(LEN(AI93)&gt;=6," / "&amp;VLOOKUP(RIGHT(LEFT(AI93,6),2),Voorblad!$X$67:$Y$98,2)&amp;IF(LEN(AI93)&gt;=8," / "&amp;VLOOKUP(RIGHT(LEFT(AI93,8),2),Voorblad!$X$67:$Y$98,2),""),""),""),""))</f>
        <v>Turkije</v>
      </c>
      <c r="AP93" s="266" t="s">
        <v>322</v>
      </c>
      <c r="AQ93" s="710" t="str">
        <f ca="1">Voorblad!AA87</f>
        <v>B1</v>
      </c>
      <c r="AR93" s="711"/>
      <c r="AS93" s="693" t="str">
        <f ca="1">IF(AT93=$AR$11,$AQ$11,IF(AT93=$AR$12,$AQ$12,VLOOKUP(AT93,Voorblad!$X$67:$Z$98,2,FALSE)))</f>
        <v>Slovenië</v>
      </c>
      <c r="AT93" s="694" t="str">
        <f t="shared" ca="1" si="19"/>
        <v>C1</v>
      </c>
      <c r="AU93" s="693" t="str">
        <f ca="1">IF(AV93=$AR$11,$AQ$11,IF(AV93=$AR$12,$AQ$12,VLOOKUP(AV93,Voorblad!$X$67:$Z$98,2,FALSE)))</f>
        <v>Slowakije</v>
      </c>
      <c r="AV93" s="694" t="str">
        <f t="shared" ca="1" si="20"/>
        <v>E2</v>
      </c>
      <c r="AW93" s="693" t="str">
        <f ca="1">IF(AX93=$AR$11,$AQ$11,IF(AX93=$AR$12,$AQ$12,VLOOKUP(AX93,Voorblad!$X$67:$Z$98,2,FALSE)))</f>
        <v>Slowakije</v>
      </c>
      <c r="AX93" s="694" t="str">
        <f t="shared" ca="1" si="21"/>
        <v>E2</v>
      </c>
      <c r="AY93" s="693" t="str">
        <f ca="1">IF(AZ93=$AR$11,$AQ$11,IF(AZ93=$AR$12,$AQ$12,VLOOKUP(AZ93,Voorblad!$X$67:$Z$98,2,FALSE)))</f>
        <v>Slowakije</v>
      </c>
      <c r="AZ93" s="694" t="str">
        <f t="shared" ca="1" si="22"/>
        <v>E2</v>
      </c>
      <c r="BA93" s="696">
        <f t="shared" si="27"/>
        <v>42</v>
      </c>
    </row>
    <row r="94" spans="21:53" x14ac:dyDescent="0.25">
      <c r="AB94" s="268"/>
      <c r="AC94" s="852"/>
      <c r="AD94" s="852"/>
      <c r="AE94" s="852"/>
      <c r="AF94" s="852"/>
      <c r="AG94" s="852"/>
      <c r="AH94" s="852"/>
      <c r="AI94" s="852"/>
      <c r="AJ94" s="852"/>
      <c r="AK94" s="852"/>
      <c r="AL94" s="852"/>
      <c r="AM94" s="268"/>
      <c r="AN94" s="268"/>
      <c r="AO94" s="268"/>
      <c r="AP94" s="266"/>
      <c r="AQ94" s="710" t="str">
        <f ca="1">Voorblad!AA88</f>
        <v>F4</v>
      </c>
      <c r="AR94" s="711"/>
      <c r="AS94" s="693" t="str">
        <f ca="1">IF(AT94=$AR$11,$AQ$11,IF(AT94=$AR$12,$AQ$12,VLOOKUP(AT94,Voorblad!$X$67:$Z$98,2,FALSE)))</f>
        <v>Slowakije</v>
      </c>
      <c r="AT94" s="694" t="str">
        <f t="shared" ca="1" si="19"/>
        <v>E2</v>
      </c>
      <c r="AU94" s="693" t="str">
        <f ca="1">IF(AV94=$AR$11,$AQ$11,IF(AV94=$AR$12,$AQ$12,VLOOKUP(AV94,Voorblad!$X$67:$Z$98,2,FALSE)))</f>
        <v>Spanje</v>
      </c>
      <c r="AV94" s="694" t="str">
        <f t="shared" ca="1" si="20"/>
        <v>B1</v>
      </c>
      <c r="AW94" s="693" t="str">
        <f ca="1">IF(AX94=$AR$11,$AQ$11,IF(AX94=$AR$12,$AQ$12,VLOOKUP(AX94,Voorblad!$X$67:$Z$98,2,FALSE)))</f>
        <v>Spanje</v>
      </c>
      <c r="AX94" s="694" t="str">
        <f t="shared" ca="1" si="21"/>
        <v>B1</v>
      </c>
      <c r="AY94" s="693" t="str">
        <f ca="1">IF(AZ94=$AR$11,$AQ$11,IF(AZ94=$AR$12,$AQ$12,VLOOKUP(AZ94,Voorblad!$X$67:$Z$98,2,FALSE)))</f>
        <v>Spanje</v>
      </c>
      <c r="AZ94" s="694" t="str">
        <f t="shared" ca="1" si="22"/>
        <v>B1</v>
      </c>
      <c r="BA94" s="696">
        <f t="shared" si="27"/>
        <v>44</v>
      </c>
    </row>
    <row r="95" spans="21:53" x14ac:dyDescent="0.25">
      <c r="AB95" s="720" t="str">
        <f>$AB$85</f>
        <v>nr.</v>
      </c>
      <c r="AC95" s="1196" t="str">
        <f>$AC$85</f>
        <v>suggestie - thuis</v>
      </c>
      <c r="AD95" s="1196"/>
      <c r="AE95" s="1196" t="str">
        <f>$AE$85</f>
        <v>suggestie - uit</v>
      </c>
      <c r="AF95" s="1196"/>
      <c r="AG95" s="1196" t="str">
        <f>$AG$85</f>
        <v>thuis code</v>
      </c>
      <c r="AH95" s="1196"/>
      <c r="AI95" s="1196" t="str">
        <f>$AG$85</f>
        <v>thuis code</v>
      </c>
      <c r="AJ95" s="1196"/>
      <c r="AK95" s="764" t="str">
        <f>$AK$85</f>
        <v>thuis menu</v>
      </c>
      <c r="AL95" s="764" t="str">
        <f>$AL$85</f>
        <v>uit menu</v>
      </c>
      <c r="AM95" s="1197" t="str">
        <f>$AM$85</f>
        <v>thuis (landen)</v>
      </c>
      <c r="AN95" s="1197"/>
      <c r="AO95" s="721" t="str">
        <f>$AO$85</f>
        <v>uit (landen)</v>
      </c>
      <c r="AP95" s="266"/>
      <c r="AQ95" s="710" t="str">
        <f ca="1">Voorblad!AA89</f>
        <v>F1</v>
      </c>
      <c r="AR95" s="711"/>
      <c r="AS95" s="693" t="str">
        <f ca="1">IF(AT95=$AR$11,$AQ$11,IF(AT95=$AR$12,$AQ$12,VLOOKUP(AT95,Voorblad!$X$67:$Z$98,2,FALSE)))</f>
        <v>Tsjechië</v>
      </c>
      <c r="AT95" s="694" t="str">
        <f t="shared" ca="1" si="19"/>
        <v>F4</v>
      </c>
      <c r="AU95" s="693" t="str">
        <f ca="1">IF(AV95=$AR$11,$AQ$11,IF(AV95=$AR$12,$AQ$12,VLOOKUP(AV95,Voorblad!$X$67:$Z$98,2,FALSE)))</f>
        <v>Tsjechië</v>
      </c>
      <c r="AV95" s="694" t="str">
        <f t="shared" ca="1" si="20"/>
        <v>F4</v>
      </c>
      <c r="AW95" s="693" t="str">
        <f ca="1">IF(AX95=$AR$11,$AQ$11,IF(AX95=$AR$12,$AQ$12,VLOOKUP(AX95,Voorblad!$X$67:$Z$98,2,FALSE)))</f>
        <v>Tsjechië</v>
      </c>
      <c r="AX95" s="694" t="str">
        <f t="shared" ca="1" si="21"/>
        <v>F4</v>
      </c>
      <c r="AY95" s="693" t="str">
        <f ca="1">IF(AZ95=$AR$11,$AQ$11,IF(AZ95=$AR$12,$AQ$12,VLOOKUP(AZ95,Voorblad!$X$67:$Z$98,2,FALSE)))</f>
        <v>Tsjechië</v>
      </c>
      <c r="AZ95" s="694" t="str">
        <f t="shared" ca="1" si="22"/>
        <v>F4</v>
      </c>
      <c r="BA95" s="696">
        <f t="shared" si="27"/>
        <v>46</v>
      </c>
    </row>
    <row r="96" spans="21:53" x14ac:dyDescent="0.25">
      <c r="AB96" s="717">
        <f>D36</f>
        <v>45</v>
      </c>
      <c r="AC96" s="1238" t="str">
        <f ca="1">AG21</f>
        <v>B1</v>
      </c>
      <c r="AD96" s="1238"/>
      <c r="AE96" s="1238" t="str">
        <f ca="1">AG17</f>
        <v>A1</v>
      </c>
      <c r="AF96" s="1238"/>
      <c r="AG9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96)),$AQ$73,""),""),IF(ISERROR(SEARCH($AQ$74,AC96)),$AQ$74,""),""),IF(ISERROR(SEARCH($AQ$75,AC96)),$AQ$75,""),""),IF(ISERROR(SEARCH($AQ$76,AC96)),$AQ$76,""),""),IF(ISERROR(SEARCH($AQ$77,AC96)),$AQ$77,""),""),IF(ISERROR(SEARCH($AQ$78,AC96)),$AQ$78,""),""),IF(ISERROR(SEARCH($AQ$79,AC96)),$AQ$79,""),""),IF(ISERROR(SEARCH($AQ$80,AC96)),$AQ$80,""),""),IF(ISERROR(SEARCH($AQ$81,AC96)),$AQ$81,""),""),IF(ISERROR(SEARCH($AQ$82,AC96)),$AQ$82,""),""),IF(ISERROR(SEARCH($AQ$83,AC96)),$AQ$83,""),""),IF(ISERROR(SEARCH($AQ$84,AC96)),$AQ$84,""),""),IF(ISERROR(SEARCH($AQ$85,AC96)),$AQ$85,""),""),IF(ISERROR(SEARCH($AQ$86,AC96)),$AQ$86,""),""),IF(ISERROR(SEARCH($AQ$87,AC96)),$AQ$87,""),""),IF(ISERROR(SEARCH($AQ$88,AC96)),$AQ$88,""),""),IF(ISERROR(SEARCH($AQ$89,AC96)),$AQ$89,""),""),IF(ISERROR(SEARCH($AQ$90,AC96)),$AQ$90,""),""),IF(ISERROR(SEARCH($AQ$91,AC96)),$AQ$91,""),""),IF(ISERROR(SEARCH($AQ$92,AC96)),$AQ$92,""),""),IF(ISERROR(SEARCH($AQ$93,AC96)),$AQ$93,""),""),IF(ISERROR(SEARCH($AQ$94,AC96)),$AQ$94,""),""),IF(ISERROR(SEARCH($AQ$95,AC96)),$AQ$95,""),""),IF(ISERROR(SEARCH($AQ$96,AC96)),$AQ$96,""),""),IF(ISERROR(SEARCH($AQ$97,AC96)),$AQ$97,""),""),IF(ISERROR(SEARCH($AQ$98,AC96)),$AQ$98,""),""),IF(ISERROR(SEARCH($AQ$99,AC96)),$AQ$99,""),""),IF(ISERROR(SEARCH($AQ$100,AC96)),$AQ$100,""),""),IF(ISERROR(SEARCH($AQ$101,AC96)),$AQ$101,""),""),IF(ISERROR(SEARCH($AQ$102,AC96)),$AQ$102,""),""),IF(ISERROR(SEARCH($AQ$103,AC96)),$AQ$103,""),""),IF(ISERROR(SEARCH($AQ$104,AC96)),$AQ$104,""),"")</f>
        <v>B1</v>
      </c>
      <c r="AH96" s="1238"/>
      <c r="AI9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96)),$AQ$73,""),""),IF(ISERROR(SEARCH($AQ$74,AE96)),$AQ$74,""),""),IF(ISERROR(SEARCH($AQ$75,AE96)),$AQ$75,""),""),IF(ISERROR(SEARCH($AQ$76,AE96)),$AQ$76,""),""),IF(ISERROR(SEARCH($AQ$77,AE96)),$AQ$77,""),""),IF(ISERROR(SEARCH($AQ$78,AE96)),$AQ$78,""),""),IF(ISERROR(SEARCH($AQ$79,AE96)),$AQ$79,""),""),IF(ISERROR(SEARCH($AQ$80,AE96)),$AQ$80,""),""),IF(ISERROR(SEARCH($AQ$81,AE96)),$AQ$81,""),""),IF(ISERROR(SEARCH($AQ$82,AE96)),$AQ$82,""),""),IF(ISERROR(SEARCH($AQ$83,AE96)),$AQ$83,""),""),IF(ISERROR(SEARCH($AQ$84,AE96)),$AQ$84,""),""),IF(ISERROR(SEARCH($AQ$85,AE96)),$AQ$85,""),""),IF(ISERROR(SEARCH($AQ$86,AE96)),$AQ$86,""),""),IF(ISERROR(SEARCH($AQ$87,AE96)),$AQ$87,""),""),IF(ISERROR(SEARCH($AQ$88,AE96)),$AQ$88,""),""),IF(ISERROR(SEARCH($AQ$89,AE96)),$AQ$89,""),""),IF(ISERROR(SEARCH($AQ$90,AE96)),$AQ$90,""),""),IF(ISERROR(SEARCH($AQ$91,AE96)),$AQ$91,""),""),IF(ISERROR(SEARCH($AQ$92,AE96)),$AQ$92,""),""),IF(ISERROR(SEARCH($AQ$93,AE96)),$AQ$93,""),""),IF(ISERROR(SEARCH($AQ$94,AE96)),$AQ$94,""),""),IF(ISERROR(SEARCH($AQ$95,AE96)),$AQ$95,""),""),IF(ISERROR(SEARCH($AQ$96,AE96)),$AQ$96,""),""),IF(ISERROR(SEARCH($AQ$97,AE96)),$AQ$97,""),""),IF(ISERROR(SEARCH($AQ$98,AE96)),$AQ$98,""),""),IF(ISERROR(SEARCH($AQ$99,AE96)),$AQ$99,""),""),IF(ISERROR(SEARCH($AQ$100,AE96)),$AQ$100,""),""),IF(ISERROR(SEARCH($AQ$101,AE96)),$AQ$101,""),""),IF(ISERROR(SEARCH($AQ$102,AE96)),$AQ$102,""),""),IF(ISERROR(SEARCH($AQ$103,AE96)),$AQ$103,""),""),IF(ISERROR(SEARCH($AQ$104,AE96)),$AQ$104,""),"")</f>
        <v>A1</v>
      </c>
      <c r="AJ96" s="1238"/>
      <c r="AK96" s="728" t="str">
        <f ca="1">AG96&amp;IF(AG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K$92,IF(ISNUMBER(SEARCH($AQ$73,AC96)),$AQ$73,""),""),IF(ISNUMBER(SEARCH($AQ$74,AC96)),$AQ$74,""),""),IF(ISNUMBER(SEARCH($AQ$75,AC96)),$AQ$75,""),""),IF(ISNUMBER(SEARCH($AQ$76,AC96)),$AQ$76,""),""),IF(ISNUMBER(SEARCH($AQ$77,AC96)),$AQ$77,""),""),IF(ISNUMBER(SEARCH($AQ$78,AC96)),$AQ$78,""),""),IF(ISNUMBER(SEARCH($AQ$79,AC96)),$AQ$79,""),""),IF(ISNUMBER(SEARCH($AQ$80,AC96)),$AQ$80,""),""),IF(ISNUMBER(SEARCH($AQ$81,AC96)),$AQ$81,""),""),IF(ISNUMBER(SEARCH($AQ$82,AC96)),$AQ$82,""),""),IF(ISNUMBER(SEARCH($AQ$83,AC96)),$AQ$83,""),""),IF(ISNUMBER(SEARCH($AQ$84,AC96)),$AQ$84,""),""),IF(ISNUMBER(SEARCH($AQ$85,AC96)),$AQ$85,""),""),IF(ISNUMBER(SEARCH($AQ$86,AC96)),$AQ$86,""),""),IF(ISNUMBER(SEARCH($AQ$87,AC96)),$AQ$87,""),""),IF(ISNUMBER(SEARCH($AQ$88,AC96)),$AQ$88,""),""),IF(ISNUMBER(SEARCH($AQ$89,AC96)),$AQ$89,""),""),IF(ISNUMBER(SEARCH($AQ$90,AC96)),$AQ$90,""),""),IF(ISNUMBER(SEARCH($AQ$91,AC96)),$AQ$91,""),""),IF(ISNUMBER(SEARCH($AQ$92,AC96)),$AQ$92,""),""),IF(ISNUMBER(SEARCH($AQ$93,AC96)),$AQ$93,""),""),IF(ISNUMBER(SEARCH($AQ$94,AC96)),$AQ$94,""),""),IF(ISNUMBER(SEARCH($AQ$95,AC96)),$AQ$95,""),""),IF(ISNUMBER(SEARCH($AQ$96,AC96)),$AQ$96,""),""),IF(ISNUMBER(SEARCH($AQ$97,AC96)),$AQ$97,""),""),IF(ISNUMBER(SEARCH($AQ$98,AC96)),$AQ$98,""),""),IF(ISNUMBER(SEARCH($AQ$99,AC96)),$AQ$99,""),""),IF(ISNUMBER(SEARCH($AQ$100,AC96)),$AQ$100,""),""),IF(ISNUMBER(SEARCH($AQ$101,AC96)),$AQ$101,""),""),IF(ISNUMBER(SEARCH($AQ$102,AC96)),$AQ$102,""),""),IF(ISNUMBER(SEARCH($AQ$103,AC96)),$AQ$103,""),""),IF(ISNUMBER(SEARCH($AQ$104,AC96)),$AQ$104,""),"")&amp;REPT($AR$12,32)</f>
        <v>B1&amp;&amp;B4E1A1D4F2A3B3B2D2E4D3D1F3E3A2E2F4F1A4????????????????????????????????????????????????????????????????</v>
      </c>
      <c r="AL96" s="728" t="str">
        <f ca="1">AI96&amp;IF(AI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L$92,IF(ISNUMBER(SEARCH($AQ$73,AE96)),$AQ$73,""),""),IF(ISNUMBER(SEARCH($AQ$74,AE96)),$AQ$74,""),""),IF(ISNUMBER(SEARCH($AQ$75,AE96)),$AQ$75,""),""),IF(ISNUMBER(SEARCH($AQ$76,AE96)),$AQ$76,""),""),IF(ISNUMBER(SEARCH($AQ$77,AE96)),$AQ$77,""),""),IF(ISNUMBER(SEARCH($AQ$78,AE96)),$AQ$78,""),""),IF(ISNUMBER(SEARCH($AQ$79,AE96)),$AQ$79,""),""),IF(ISNUMBER(SEARCH($AQ$80,AE96)),$AQ$80,""),""),IF(ISNUMBER(SEARCH($AQ$81,AE96)),$AQ$81,""),""),IF(ISNUMBER(SEARCH($AQ$82,AE96)),$AQ$82,""),""),IF(ISNUMBER(SEARCH($AQ$83,AE96)),$AQ$83,""),""),IF(ISNUMBER(SEARCH($AQ$84,AE96)),$AQ$84,""),""),IF(ISNUMBER(SEARCH($AQ$85,AE96)),$AQ$85,""),""),IF(ISNUMBER(SEARCH($AQ$86,AE96)),$AQ$86,""),""),IF(ISNUMBER(SEARCH($AQ$87,AE96)),$AQ$87,""),""),IF(ISNUMBER(SEARCH($AQ$88,AE96)),$AQ$88,""),""),IF(ISNUMBER(SEARCH($AQ$89,AE96)),$AQ$89,""),""),IF(ISNUMBER(SEARCH($AQ$90,AE96)),$AQ$90,""),""),IF(ISNUMBER(SEARCH($AQ$91,AE96)),$AQ$91,""),""),IF(ISNUMBER(SEARCH($AQ$92,AE96)),$AQ$92,""),""),IF(ISNUMBER(SEARCH($AQ$93,AE96)),$AQ$93,""),""),IF(ISNUMBER(SEARCH($AQ$94,AE96)),$AQ$94,""),""),IF(ISNUMBER(SEARCH($AQ$95,AE96)),$AQ$95,""),""),IF(ISNUMBER(SEARCH($AQ$96,AE96)),$AQ$96,""),""),IF(ISNUMBER(SEARCH($AQ$97,AE96)),$AQ$97,""),""),IF(ISNUMBER(SEARCH($AQ$98,AE96)),$AQ$98,""),""),IF(ISNUMBER(SEARCH($AQ$99,AE96)),$AQ$99,""),""),IF(ISNUMBER(SEARCH($AQ$100,AE96)),$AQ$100,""),""),IF(ISNUMBER(SEARCH($AQ$101,AE96)),$AQ$101,""),""),IF(ISNUMBER(SEARCH($AQ$102,AE96)),$AQ$102,""),""),IF(ISNUMBER(SEARCH($AQ$103,AE96)),$AQ$103,""),""),IF(ISNUMBER(SEARCH($AQ$104,AE96)),$AQ$104,""),"")&amp;REPT($AR$12,32)</f>
        <v>A1&amp;&amp;C2C4A3A2C3C1A4????????????????????????????????????????????????????????????????</v>
      </c>
      <c r="AM96" s="1247" t="str">
        <f ca="1">IF(AG96="","",IF(LEN(AG96)&gt;=2,VLOOKUP(LEFT(AG96,2),Voorblad!$X$67:$Y$98,2)&amp;IF(LEN(AG96)&gt;=4," / "&amp;VLOOKUP(RIGHT(LEFT(AG96,4),2),Voorblad!$X$67:$Y$98,2),""),""))</f>
        <v>Spanje</v>
      </c>
      <c r="AN96" s="1247"/>
      <c r="AO96" s="717" t="str">
        <f ca="1">IF(AI96="","",IF(LEN(AI96)&gt;=2,VLOOKUP(LEFT(AI96,2),Voorblad!$X$67:$Y$98,2)&amp;IF(LEN(AI96)&gt;=4," / "&amp;VLOOKUP(RIGHT(LEFT(AI96,4),2),Voorblad!$X$67:$Y$98,2),""),""))</f>
        <v>Duitsland</v>
      </c>
      <c r="AP96" s="266"/>
      <c r="AQ96" s="710" t="str">
        <f ca="1">Voorblad!AA90</f>
        <v>A4</v>
      </c>
      <c r="AR96" s="711"/>
      <c r="AS96" s="693" t="str">
        <f ca="1">IF(AT96=$AR$11,$AQ$11,IF(AT96=$AR$12,$AQ$12,VLOOKUP(AT96,Voorblad!$X$67:$Z$98,2,FALSE)))</f>
        <v>Turkije</v>
      </c>
      <c r="AT96" s="694" t="str">
        <f t="shared" ca="1" si="19"/>
        <v>F1</v>
      </c>
      <c r="AU96" s="693" t="str">
        <f ca="1">IF(AV96=$AR$11,$AQ$11,IF(AV96=$AR$12,$AQ$12,VLOOKUP(AV96,Voorblad!$X$67:$Z$98,2,FALSE)))</f>
        <v>Turkije</v>
      </c>
      <c r="AV96" s="694" t="str">
        <f t="shared" ca="1" si="20"/>
        <v>F1</v>
      </c>
      <c r="AW96" s="693" t="str">
        <f ca="1">IF(AX96=$AR$11,$AQ$11,IF(AX96=$AR$12,$AQ$12,VLOOKUP(AX96,Voorblad!$X$67:$Z$98,2,FALSE)))</f>
        <v>Turkije</v>
      </c>
      <c r="AX96" s="694" t="str">
        <f t="shared" ca="1" si="21"/>
        <v>F1</v>
      </c>
      <c r="AY96" s="693" t="str">
        <f ca="1">IF(AZ96=$AR$11,$AQ$11,IF(AZ96=$AR$12,$AQ$12,VLOOKUP(AZ96,Voorblad!$X$67:$Z$98,2,FALSE)))</f>
        <v>Turkije</v>
      </c>
      <c r="AZ96" s="694" t="str">
        <f t="shared" ca="1" si="22"/>
        <v>F1</v>
      </c>
      <c r="BA96" s="696">
        <f t="shared" si="27"/>
        <v>48</v>
      </c>
    </row>
    <row r="97" spans="28:53" x14ac:dyDescent="0.25">
      <c r="AB97" s="718">
        <f>D38</f>
        <v>46</v>
      </c>
      <c r="AC97" s="1237" t="str">
        <f ca="1">AG25</f>
        <v>F3B3</v>
      </c>
      <c r="AD97" s="1237"/>
      <c r="AE97" s="1237" t="str">
        <f ca="1">AG23</f>
        <v>D2</v>
      </c>
      <c r="AF97" s="1237"/>
      <c r="AG97"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97)),$AQ$73,""),""),IF(ISERROR(SEARCH($AQ$74,AC97)),$AQ$74,""),""),IF(ISERROR(SEARCH($AQ$75,AC97)),$AQ$75,""),""),IF(ISERROR(SEARCH($AQ$76,AC97)),$AQ$76,""),""),IF(ISERROR(SEARCH($AQ$77,AC97)),$AQ$77,""),""),IF(ISERROR(SEARCH($AQ$78,AC97)),$AQ$78,""),""),IF(ISERROR(SEARCH($AQ$79,AC97)),$AQ$79,""),""),IF(ISERROR(SEARCH($AQ$80,AC97)),$AQ$80,""),""),IF(ISERROR(SEARCH($AQ$81,AC97)),$AQ$81,""),""),IF(ISERROR(SEARCH($AQ$82,AC97)),$AQ$82,""),""),IF(ISERROR(SEARCH($AQ$83,AC97)),$AQ$83,""),""),IF(ISERROR(SEARCH($AQ$84,AC97)),$AQ$84,""),""),IF(ISERROR(SEARCH($AQ$85,AC97)),$AQ$85,""),""),IF(ISERROR(SEARCH($AQ$86,AC97)),$AQ$86,""),""),IF(ISERROR(SEARCH($AQ$87,AC97)),$AQ$87,""),""),IF(ISERROR(SEARCH($AQ$88,AC97)),$AQ$88,""),""),IF(ISERROR(SEARCH($AQ$89,AC97)),$AQ$89,""),""),IF(ISERROR(SEARCH($AQ$90,AC97)),$AQ$90,""),""),IF(ISERROR(SEARCH($AQ$91,AC97)),$AQ$91,""),""),IF(ISERROR(SEARCH($AQ$92,AC97)),$AQ$92,""),""),IF(ISERROR(SEARCH($AQ$93,AC97)),$AQ$93,""),""),IF(ISERROR(SEARCH($AQ$94,AC97)),$AQ$94,""),""),IF(ISERROR(SEARCH($AQ$95,AC97)),$AQ$95,""),""),IF(ISERROR(SEARCH($AQ$96,AC97)),$AQ$96,""),""),IF(ISERROR(SEARCH($AQ$97,AC97)),$AQ$97,""),""),IF(ISERROR(SEARCH($AQ$98,AC97)),$AQ$98,""),""),IF(ISERROR(SEARCH($AQ$99,AC97)),$AQ$99,""),""),IF(ISERROR(SEARCH($AQ$100,AC97)),$AQ$100,""),""),IF(ISERROR(SEARCH($AQ$101,AC97)),$AQ$101,""),""),IF(ISERROR(SEARCH($AQ$102,AC97)),$AQ$102,""),""),IF(ISERROR(SEARCH($AQ$103,AC97)),$AQ$103,""),""),IF(ISERROR(SEARCH($AQ$104,AC97)),$AQ$104,""),"")</f>
        <v>B3F3</v>
      </c>
      <c r="AH97" s="1237"/>
      <c r="AI97"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97)),$AQ$73,""),""),IF(ISERROR(SEARCH($AQ$74,AE97)),$AQ$74,""),""),IF(ISERROR(SEARCH($AQ$75,AE97)),$AQ$75,""),""),IF(ISERROR(SEARCH($AQ$76,AE97)),$AQ$76,""),""),IF(ISERROR(SEARCH($AQ$77,AE97)),$AQ$77,""),""),IF(ISERROR(SEARCH($AQ$78,AE97)),$AQ$78,""),""),IF(ISERROR(SEARCH($AQ$79,AE97)),$AQ$79,""),""),IF(ISERROR(SEARCH($AQ$80,AE97)),$AQ$80,""),""),IF(ISERROR(SEARCH($AQ$81,AE97)),$AQ$81,""),""),IF(ISERROR(SEARCH($AQ$82,AE97)),$AQ$82,""),""),IF(ISERROR(SEARCH($AQ$83,AE97)),$AQ$83,""),""),IF(ISERROR(SEARCH($AQ$84,AE97)),$AQ$84,""),""),IF(ISERROR(SEARCH($AQ$85,AE97)),$AQ$85,""),""),IF(ISERROR(SEARCH($AQ$86,AE97)),$AQ$86,""),""),IF(ISERROR(SEARCH($AQ$87,AE97)),$AQ$87,""),""),IF(ISERROR(SEARCH($AQ$88,AE97)),$AQ$88,""),""),IF(ISERROR(SEARCH($AQ$89,AE97)),$AQ$89,""),""),IF(ISERROR(SEARCH($AQ$90,AE97)),$AQ$90,""),""),IF(ISERROR(SEARCH($AQ$91,AE97)),$AQ$91,""),""),IF(ISERROR(SEARCH($AQ$92,AE97)),$AQ$92,""),""),IF(ISERROR(SEARCH($AQ$93,AE97)),$AQ$93,""),""),IF(ISERROR(SEARCH($AQ$94,AE97)),$AQ$94,""),""),IF(ISERROR(SEARCH($AQ$95,AE97)),$AQ$95,""),""),IF(ISERROR(SEARCH($AQ$96,AE97)),$AQ$96,""),""),IF(ISERROR(SEARCH($AQ$97,AE97)),$AQ$97,""),""),IF(ISERROR(SEARCH($AQ$98,AE97)),$AQ$98,""),""),IF(ISERROR(SEARCH($AQ$99,AE97)),$AQ$99,""),""),IF(ISERROR(SEARCH($AQ$100,AE97)),$AQ$100,""),""),IF(ISERROR(SEARCH($AQ$101,AE97)),$AQ$101,""),""),IF(ISERROR(SEARCH($AQ$102,AE97)),$AQ$102,""),""),IF(ISERROR(SEARCH($AQ$103,AE97)),$AQ$103,""),""),IF(ISERROR(SEARCH($AQ$104,AE97)),$AQ$104,""),"")</f>
        <v>D2</v>
      </c>
      <c r="AJ97" s="1237"/>
      <c r="AK97" s="729" t="str">
        <f ca="1">AG97&amp;IF(AG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M$92,IF(ISNUMBER(SEARCH($AQ$73,AC97)),$AQ$73,""),""),IF(ISNUMBER(SEARCH($AQ$74,AC97)),$AQ$74,""),""),IF(ISNUMBER(SEARCH($AQ$75,AC97)),$AQ$75,""),""),IF(ISNUMBER(SEARCH($AQ$76,AC97)),$AQ$76,""),""),IF(ISNUMBER(SEARCH($AQ$77,AC97)),$AQ$77,""),""),IF(ISNUMBER(SEARCH($AQ$78,AC97)),$AQ$78,""),""),IF(ISNUMBER(SEARCH($AQ$79,AC97)),$AQ$79,""),""),IF(ISNUMBER(SEARCH($AQ$80,AC97)),$AQ$80,""),""),IF(ISNUMBER(SEARCH($AQ$81,AC97)),$AQ$81,""),""),IF(ISNUMBER(SEARCH($AQ$82,AC97)),$AQ$82,""),""),IF(ISNUMBER(SEARCH($AQ$83,AC97)),$AQ$83,""),""),IF(ISNUMBER(SEARCH($AQ$84,AC97)),$AQ$84,""),""),IF(ISNUMBER(SEARCH($AQ$85,AC97)),$AQ$85,""),""),IF(ISNUMBER(SEARCH($AQ$86,AC97)),$AQ$86,""),""),IF(ISNUMBER(SEARCH($AQ$87,AC97)),$AQ$87,""),""),IF(ISNUMBER(SEARCH($AQ$88,AC97)),$AQ$88,""),""),IF(ISNUMBER(SEARCH($AQ$89,AC97)),$AQ$89,""),""),IF(ISNUMBER(SEARCH($AQ$90,AC97)),$AQ$90,""),""),IF(ISNUMBER(SEARCH($AQ$91,AC97)),$AQ$91,""),""),IF(ISNUMBER(SEARCH($AQ$92,AC97)),$AQ$92,""),""),IF(ISNUMBER(SEARCH($AQ$93,AC97)),$AQ$93,""),""),IF(ISNUMBER(SEARCH($AQ$94,AC97)),$AQ$94,""),""),IF(ISNUMBER(SEARCH($AQ$95,AC97)),$AQ$95,""),""),IF(ISNUMBER(SEARCH($AQ$96,AC97)),$AQ$96,""),""),IF(ISNUMBER(SEARCH($AQ$97,AC97)),$AQ$97,""),""),IF(ISNUMBER(SEARCH($AQ$98,AC97)),$AQ$98,""),""),IF(ISNUMBER(SEARCH($AQ$99,AC97)),$AQ$99,""),""),IF(ISNUMBER(SEARCH($AQ$100,AC97)),$AQ$100,""),""),IF(ISNUMBER(SEARCH($AQ$101,AC97)),$AQ$101,""),""),IF(ISNUMBER(SEARCH($AQ$102,AC97)),$AQ$102,""),""),IF(ISNUMBER(SEARCH($AQ$103,AC97)),$AQ$103,""),""),IF(ISNUMBER(SEARCH($AQ$104,AC97)),$AQ$104,""),"")&amp;REPT($AR$12,32)</f>
        <v>B3F3&amp;&amp;B4C2A1C4F2A3B2A2C3C1B1F4F1A4????????????????????????????????????????????????????????????????</v>
      </c>
      <c r="AL97" s="729" t="str">
        <f ca="1">AI97&amp;IF(AI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N$92,IF(ISNUMBER(SEARCH($AQ$73,AE97)),$AQ$73,""),""),IF(ISNUMBER(SEARCH($AQ$74,AE97)),$AQ$74,""),""),IF(ISNUMBER(SEARCH($AQ$75,AE97)),$AQ$75,""),""),IF(ISNUMBER(SEARCH($AQ$76,AE97)),$AQ$76,""),""),IF(ISNUMBER(SEARCH($AQ$77,AE97)),$AQ$77,""),""),IF(ISNUMBER(SEARCH($AQ$78,AE97)),$AQ$78,""),""),IF(ISNUMBER(SEARCH($AQ$79,AE97)),$AQ$79,""),""),IF(ISNUMBER(SEARCH($AQ$80,AE97)),$AQ$80,""),""),IF(ISNUMBER(SEARCH($AQ$81,AE97)),$AQ$81,""),""),IF(ISNUMBER(SEARCH($AQ$82,AE97)),$AQ$82,""),""),IF(ISNUMBER(SEARCH($AQ$83,AE97)),$AQ$83,""),""),IF(ISNUMBER(SEARCH($AQ$84,AE97)),$AQ$84,""),""),IF(ISNUMBER(SEARCH($AQ$85,AE97)),$AQ$85,""),""),IF(ISNUMBER(SEARCH($AQ$86,AE97)),$AQ$86,""),""),IF(ISNUMBER(SEARCH($AQ$87,AE97)),$AQ$87,""),""),IF(ISNUMBER(SEARCH($AQ$88,AE97)),$AQ$88,""),""),IF(ISNUMBER(SEARCH($AQ$89,AE97)),$AQ$89,""),""),IF(ISNUMBER(SEARCH($AQ$90,AE97)),$AQ$90,""),""),IF(ISNUMBER(SEARCH($AQ$91,AE97)),$AQ$91,""),""),IF(ISNUMBER(SEARCH($AQ$92,AE97)),$AQ$92,""),""),IF(ISNUMBER(SEARCH($AQ$93,AE97)),$AQ$93,""),""),IF(ISNUMBER(SEARCH($AQ$94,AE97)),$AQ$94,""),""),IF(ISNUMBER(SEARCH($AQ$95,AE97)),$AQ$95,""),""),IF(ISNUMBER(SEARCH($AQ$96,AE97)),$AQ$96,""),""),IF(ISNUMBER(SEARCH($AQ$97,AE97)),$AQ$97,""),""),IF(ISNUMBER(SEARCH($AQ$98,AE97)),$AQ$98,""),""),IF(ISNUMBER(SEARCH($AQ$99,AE97)),$AQ$99,""),""),IF(ISNUMBER(SEARCH($AQ$100,AE97)),$AQ$100,""),""),IF(ISNUMBER(SEARCH($AQ$101,AE97)),$AQ$101,""),""),IF(ISNUMBER(SEARCH($AQ$102,AE97)),$AQ$102,""),""),IF(ISNUMBER(SEARCH($AQ$103,AE97)),$AQ$103,""),""),IF(ISNUMBER(SEARCH($AQ$104,AE97)),$AQ$104,""),"")&amp;REPT($AR$12,32)</f>
        <v>D2&amp;&amp;E1D4E4D3D1E3E2????????????????????????????????????????????????????????????????</v>
      </c>
      <c r="AM97" s="1248" t="str">
        <f ca="1">IF(AG97="","",IF(LEN(AG97)&gt;=2,VLOOKUP(LEFT(AG97,2),Voorblad!$X$67:$Y$98,2)&amp;IF(LEN(AG97)&gt;=4," / "&amp;VLOOKUP(RIGHT(LEFT(AG97,4),2),Voorblad!$X$67:$Y$98,2),""),""))</f>
        <v>Italië / Portugal</v>
      </c>
      <c r="AN97" s="1248"/>
      <c r="AO97" s="718" t="str">
        <f ca="1">IF(AI97="","",IF(LEN(AI97)&gt;=2,VLOOKUP(LEFT(AI97,2),Voorblad!$X$67:$Y$98,2)&amp;IF(LEN(AI97)&gt;=4," / "&amp;VLOOKUP(RIGHT(LEFT(AI97,4),2),Voorblad!$X$67:$Y$98,2),""),""))</f>
        <v>Nederland</v>
      </c>
      <c r="AP97" s="266"/>
      <c r="AQ97" s="710" t="str">
        <f ca="1">Voorblad!AA91</f>
        <v>G1</v>
      </c>
      <c r="AR97" s="711"/>
      <c r="AS97" s="693" t="str">
        <f ca="1">IF(AT97=$AR$11,$AQ$11,IF(AT97=$AR$12,$AQ$12,VLOOKUP(AT97,Voorblad!$X$67:$Z$98,2,FALSE)))</f>
        <v>Zwitserland</v>
      </c>
      <c r="AT97" s="694" t="str">
        <f t="shared" ca="1" si="19"/>
        <v>A4</v>
      </c>
      <c r="AU97" s="693" t="str">
        <f ca="1">IF(AV97=$AR$11,$AQ$11,IF(AV97=$AR$12,$AQ$12,VLOOKUP(AV97,Voorblad!$X$67:$Z$98,2,FALSE)))</f>
        <v>Zwitserland</v>
      </c>
      <c r="AV97" s="694" t="str">
        <f t="shared" ca="1" si="20"/>
        <v>A4</v>
      </c>
      <c r="AW97" s="693" t="str">
        <f ca="1">IF(AX97=$AR$11,$AQ$11,IF(AX97=$AR$12,$AQ$12,VLOOKUP(AX97,Voorblad!$X$67:$Z$98,2,FALSE)))</f>
        <v>Zwitserland</v>
      </c>
      <c r="AX97" s="694" t="str">
        <f t="shared" ca="1" si="21"/>
        <v>A4</v>
      </c>
      <c r="AY97" s="693" t="str">
        <f ca="1">IF(AZ97=$AR$11,$AQ$11,IF(AZ97=$AR$12,$AQ$12,VLOOKUP(AZ97,Voorblad!$X$67:$Z$98,2,FALSE)))</f>
        <v>Zwitserland</v>
      </c>
      <c r="AZ97" s="694" t="str">
        <f t="shared" ca="1" si="22"/>
        <v>A4</v>
      </c>
      <c r="BA97" s="696">
        <f t="shared" si="27"/>
        <v>50</v>
      </c>
    </row>
    <row r="98" spans="28:53" x14ac:dyDescent="0.25">
      <c r="AB98" s="717">
        <f>D40</f>
        <v>48</v>
      </c>
      <c r="AC98" s="1238" t="str">
        <f ca="1">AG19</f>
        <v>C4</v>
      </c>
      <c r="AD98" s="1238"/>
      <c r="AE98" s="1238" t="str">
        <f ca="1">AG15</f>
        <v>B2</v>
      </c>
      <c r="AF98" s="1238"/>
      <c r="AG98"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98)),$AQ$73,""),""),IF(ISERROR(SEARCH($AQ$74,AC98)),$AQ$74,""),""),IF(ISERROR(SEARCH($AQ$75,AC98)),$AQ$75,""),""),IF(ISERROR(SEARCH($AQ$76,AC98)),$AQ$76,""),""),IF(ISERROR(SEARCH($AQ$77,AC98)),$AQ$77,""),""),IF(ISERROR(SEARCH($AQ$78,AC98)),$AQ$78,""),""),IF(ISERROR(SEARCH($AQ$79,AC98)),$AQ$79,""),""),IF(ISERROR(SEARCH($AQ$80,AC98)),$AQ$80,""),""),IF(ISERROR(SEARCH($AQ$81,AC98)),$AQ$81,""),""),IF(ISERROR(SEARCH($AQ$82,AC98)),$AQ$82,""),""),IF(ISERROR(SEARCH($AQ$83,AC98)),$AQ$83,""),""),IF(ISERROR(SEARCH($AQ$84,AC98)),$AQ$84,""),""),IF(ISERROR(SEARCH($AQ$85,AC98)),$AQ$85,""),""),IF(ISERROR(SEARCH($AQ$86,AC98)),$AQ$86,""),""),IF(ISERROR(SEARCH($AQ$87,AC98)),$AQ$87,""),""),IF(ISERROR(SEARCH($AQ$88,AC98)),$AQ$88,""),""),IF(ISERROR(SEARCH($AQ$89,AC98)),$AQ$89,""),""),IF(ISERROR(SEARCH($AQ$90,AC98)),$AQ$90,""),""),IF(ISERROR(SEARCH($AQ$91,AC98)),$AQ$91,""),""),IF(ISERROR(SEARCH($AQ$92,AC98)),$AQ$92,""),""),IF(ISERROR(SEARCH($AQ$93,AC98)),$AQ$93,""),""),IF(ISERROR(SEARCH($AQ$94,AC98)),$AQ$94,""),""),IF(ISERROR(SEARCH($AQ$95,AC98)),$AQ$95,""),""),IF(ISERROR(SEARCH($AQ$96,AC98)),$AQ$96,""),""),IF(ISERROR(SEARCH($AQ$97,AC98)),$AQ$97,""),""),IF(ISERROR(SEARCH($AQ$98,AC98)),$AQ$98,""),""),IF(ISERROR(SEARCH($AQ$99,AC98)),$AQ$99,""),""),IF(ISERROR(SEARCH($AQ$100,AC98)),$AQ$100,""),""),IF(ISERROR(SEARCH($AQ$101,AC98)),$AQ$101,""),""),IF(ISERROR(SEARCH($AQ$102,AC98)),$AQ$102,""),""),IF(ISERROR(SEARCH($AQ$103,AC98)),$AQ$103,""),""),IF(ISERROR(SEARCH($AQ$104,AC98)),$AQ$104,""),"")</f>
        <v>C4</v>
      </c>
      <c r="AH98" s="1238"/>
      <c r="AI98"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98)),$AQ$73,""),""),IF(ISERROR(SEARCH($AQ$74,AE98)),$AQ$74,""),""),IF(ISERROR(SEARCH($AQ$75,AE98)),$AQ$75,""),""),IF(ISERROR(SEARCH($AQ$76,AE98)),$AQ$76,""),""),IF(ISERROR(SEARCH($AQ$77,AE98)),$AQ$77,""),""),IF(ISERROR(SEARCH($AQ$78,AE98)),$AQ$78,""),""),IF(ISERROR(SEARCH($AQ$79,AE98)),$AQ$79,""),""),IF(ISERROR(SEARCH($AQ$80,AE98)),$AQ$80,""),""),IF(ISERROR(SEARCH($AQ$81,AE98)),$AQ$81,""),""),IF(ISERROR(SEARCH($AQ$82,AE98)),$AQ$82,""),""),IF(ISERROR(SEARCH($AQ$83,AE98)),$AQ$83,""),""),IF(ISERROR(SEARCH($AQ$84,AE98)),$AQ$84,""),""),IF(ISERROR(SEARCH($AQ$85,AE98)),$AQ$85,""),""),IF(ISERROR(SEARCH($AQ$86,AE98)),$AQ$86,""),""),IF(ISERROR(SEARCH($AQ$87,AE98)),$AQ$87,""),""),IF(ISERROR(SEARCH($AQ$88,AE98)),$AQ$88,""),""),IF(ISERROR(SEARCH($AQ$89,AE98)),$AQ$89,""),""),IF(ISERROR(SEARCH($AQ$90,AE98)),$AQ$90,""),""),IF(ISERROR(SEARCH($AQ$91,AE98)),$AQ$91,""),""),IF(ISERROR(SEARCH($AQ$92,AE98)),$AQ$92,""),""),IF(ISERROR(SEARCH($AQ$93,AE98)),$AQ$93,""),""),IF(ISERROR(SEARCH($AQ$94,AE98)),$AQ$94,""),""),IF(ISERROR(SEARCH($AQ$95,AE98)),$AQ$95,""),""),IF(ISERROR(SEARCH($AQ$96,AE98)),$AQ$96,""),""),IF(ISERROR(SEARCH($AQ$97,AE98)),$AQ$97,""),""),IF(ISERROR(SEARCH($AQ$98,AE98)),$AQ$98,""),""),IF(ISERROR(SEARCH($AQ$99,AE98)),$AQ$99,""),""),IF(ISERROR(SEARCH($AQ$100,AE98)),$AQ$100,""),""),IF(ISERROR(SEARCH($AQ$101,AE98)),$AQ$101,""),""),IF(ISERROR(SEARCH($AQ$102,AE98)),$AQ$102,""),""),IF(ISERROR(SEARCH($AQ$103,AE98)),$AQ$103,""),""),IF(ISERROR(SEARCH($AQ$104,AE98)),$AQ$104,""),"")</f>
        <v>B2</v>
      </c>
      <c r="AJ98" s="1238"/>
      <c r="AK98" s="728" t="str">
        <f ca="1">AG98&amp;IF(AG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O$92,IF(ISNUMBER(SEARCH($AQ$73,AC98)),$AQ$73,""),""),IF(ISNUMBER(SEARCH($AQ$74,AC98)),$AQ$74,""),""),IF(ISNUMBER(SEARCH($AQ$75,AC98)),$AQ$75,""),""),IF(ISNUMBER(SEARCH($AQ$76,AC98)),$AQ$76,""),""),IF(ISNUMBER(SEARCH($AQ$77,AC98)),$AQ$77,""),""),IF(ISNUMBER(SEARCH($AQ$78,AC98)),$AQ$78,""),""),IF(ISNUMBER(SEARCH($AQ$79,AC98)),$AQ$79,""),""),IF(ISNUMBER(SEARCH($AQ$80,AC98)),$AQ$80,""),""),IF(ISNUMBER(SEARCH($AQ$81,AC98)),$AQ$81,""),""),IF(ISNUMBER(SEARCH($AQ$82,AC98)),$AQ$82,""),""),IF(ISNUMBER(SEARCH($AQ$83,AC98)),$AQ$83,""),""),IF(ISNUMBER(SEARCH($AQ$84,AC98)),$AQ$84,""),""),IF(ISNUMBER(SEARCH($AQ$85,AC98)),$AQ$85,""),""),IF(ISNUMBER(SEARCH($AQ$86,AC98)),$AQ$86,""),""),IF(ISNUMBER(SEARCH($AQ$87,AC98)),$AQ$87,""),""),IF(ISNUMBER(SEARCH($AQ$88,AC98)),$AQ$88,""),""),IF(ISNUMBER(SEARCH($AQ$89,AC98)),$AQ$89,""),""),IF(ISNUMBER(SEARCH($AQ$90,AC98)),$AQ$90,""),""),IF(ISNUMBER(SEARCH($AQ$91,AC98)),$AQ$91,""),""),IF(ISNUMBER(SEARCH($AQ$92,AC98)),$AQ$92,""),""),IF(ISNUMBER(SEARCH($AQ$93,AC98)),$AQ$93,""),""),IF(ISNUMBER(SEARCH($AQ$94,AC98)),$AQ$94,""),""),IF(ISNUMBER(SEARCH($AQ$95,AC98)),$AQ$95,""),""),IF(ISNUMBER(SEARCH($AQ$96,AC98)),$AQ$96,""),""),IF(ISNUMBER(SEARCH($AQ$97,AC98)),$AQ$97,""),""),IF(ISNUMBER(SEARCH($AQ$98,AC98)),$AQ$98,""),""),IF(ISNUMBER(SEARCH($AQ$99,AC98)),$AQ$99,""),""),IF(ISNUMBER(SEARCH($AQ$100,AC98)),$AQ$100,""),""),IF(ISNUMBER(SEARCH($AQ$101,AC98)),$AQ$101,""),""),IF(ISNUMBER(SEARCH($AQ$102,AC98)),$AQ$102,""),""),IF(ISNUMBER(SEARCH($AQ$103,AC98)),$AQ$103,""),""),IF(ISNUMBER(SEARCH($AQ$104,AC98)),$AQ$104,""),"")&amp;REPT($AR$12,32)</f>
        <v>C4&amp;&amp;E1C2D4F2D2E4D3D1F3E3C3C1E2F4F1????????????????????????????????????????????????????????????????</v>
      </c>
      <c r="AL98" s="728" t="str">
        <f ca="1">AI98&amp;IF(AI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P$92,IF(ISNUMBER(SEARCH($AQ$73,AE98)),$AQ$73,""),""),IF(ISNUMBER(SEARCH($AQ$74,AE98)),$AQ$74,""),""),IF(ISNUMBER(SEARCH($AQ$75,AE98)),$AQ$75,""),""),IF(ISNUMBER(SEARCH($AQ$76,AE98)),$AQ$76,""),""),IF(ISNUMBER(SEARCH($AQ$77,AE98)),$AQ$77,""),""),IF(ISNUMBER(SEARCH($AQ$78,AE98)),$AQ$78,""),""),IF(ISNUMBER(SEARCH($AQ$79,AE98)),$AQ$79,""),""),IF(ISNUMBER(SEARCH($AQ$80,AE98)),$AQ$80,""),""),IF(ISNUMBER(SEARCH($AQ$81,AE98)),$AQ$81,""),""),IF(ISNUMBER(SEARCH($AQ$82,AE98)),$AQ$82,""),""),IF(ISNUMBER(SEARCH($AQ$83,AE98)),$AQ$83,""),""),IF(ISNUMBER(SEARCH($AQ$84,AE98)),$AQ$84,""),""),IF(ISNUMBER(SEARCH($AQ$85,AE98)),$AQ$85,""),""),IF(ISNUMBER(SEARCH($AQ$86,AE98)),$AQ$86,""),""),IF(ISNUMBER(SEARCH($AQ$87,AE98)),$AQ$87,""),""),IF(ISNUMBER(SEARCH($AQ$88,AE98)),$AQ$88,""),""),IF(ISNUMBER(SEARCH($AQ$89,AE98)),$AQ$89,""),""),IF(ISNUMBER(SEARCH($AQ$90,AE98)),$AQ$90,""),""),IF(ISNUMBER(SEARCH($AQ$91,AE98)),$AQ$91,""),""),IF(ISNUMBER(SEARCH($AQ$92,AE98)),$AQ$92,""),""),IF(ISNUMBER(SEARCH($AQ$93,AE98)),$AQ$93,""),""),IF(ISNUMBER(SEARCH($AQ$94,AE98)),$AQ$94,""),""),IF(ISNUMBER(SEARCH($AQ$95,AE98)),$AQ$95,""),""),IF(ISNUMBER(SEARCH($AQ$96,AE98)),$AQ$96,""),""),IF(ISNUMBER(SEARCH($AQ$97,AE98)),$AQ$97,""),""),IF(ISNUMBER(SEARCH($AQ$98,AE98)),$AQ$98,""),""),IF(ISNUMBER(SEARCH($AQ$99,AE98)),$AQ$99,""),""),IF(ISNUMBER(SEARCH($AQ$100,AE98)),$AQ$100,""),""),IF(ISNUMBER(SEARCH($AQ$101,AE98)),$AQ$101,""),""),IF(ISNUMBER(SEARCH($AQ$102,AE98)),$AQ$102,""),""),IF(ISNUMBER(SEARCH($AQ$103,AE98)),$AQ$103,""),""),IF(ISNUMBER(SEARCH($AQ$104,AE98)),$AQ$104,""),"")&amp;REPT($AR$12,32)</f>
        <v>B2&amp;&amp;B4A1A3B3A2B1A4????????????????????????????????????????????????????????????????</v>
      </c>
      <c r="AM98" s="1247" t="str">
        <f ca="1">IF(AG98="","",IF(LEN(AG98)&gt;=2,VLOOKUP(LEFT(AG98,2),Voorblad!$X$67:$Y$98,2)&amp;IF(LEN(AG98)&gt;=4," / "&amp;VLOOKUP(RIGHT(LEFT(AG98,4),2),Voorblad!$X$67:$Y$98,2),""),""))</f>
        <v>Engeland</v>
      </c>
      <c r="AN98" s="1247"/>
      <c r="AO98" s="717" t="str">
        <f ca="1">IF(AI98="","",IF(LEN(AI98)&gt;=2,VLOOKUP(LEFT(AI98,2),Voorblad!$X$67:$Y$98,2)&amp;IF(LEN(AI98)&gt;=4," / "&amp;VLOOKUP(RIGHT(LEFT(AI98,4),2),Voorblad!$X$67:$Y$98,2),""),""))</f>
        <v>Kroatië</v>
      </c>
      <c r="AP98" s="266"/>
      <c r="AQ98" s="710" t="str">
        <f ca="1">Voorblad!AA92</f>
        <v>G2</v>
      </c>
      <c r="AR98" s="711"/>
      <c r="AS98" s="693" t="str">
        <f ca="1">IF(AT98=$AR$11,$AQ$11,IF(AT98=$AR$12,$AQ$12,VLOOKUP(AT98,Voorblad!$X$67:$Z$98,2,FALSE)))</f>
        <v/>
      </c>
      <c r="AT98" s="694" t="str">
        <f t="shared" ca="1" si="19"/>
        <v>??</v>
      </c>
      <c r="AU98" s="693" t="str">
        <f ca="1">IF(AV98=$AR$11,$AQ$11,IF(AV98=$AR$12,$AQ$12,VLOOKUP(AV98,Voorblad!$X$67:$Z$98,2,FALSE)))</f>
        <v/>
      </c>
      <c r="AV98" s="694" t="str">
        <f t="shared" ca="1" si="20"/>
        <v>??</v>
      </c>
      <c r="AW98" s="693" t="str">
        <f ca="1">IF(AX98=$AR$11,$AQ$11,IF(AX98=$AR$12,$AQ$12,VLOOKUP(AX98,Voorblad!$X$67:$Z$98,2,FALSE)))</f>
        <v/>
      </c>
      <c r="AX98" s="694" t="str">
        <f t="shared" ca="1" si="21"/>
        <v>??</v>
      </c>
      <c r="AY98" s="693" t="str">
        <f ca="1">IF(AZ98=$AR$11,$AQ$11,IF(AZ98=$AR$12,$AQ$12,VLOOKUP(AZ98,Voorblad!$X$67:$Z$98,2,FALSE)))</f>
        <v/>
      </c>
      <c r="AZ98" s="694" t="str">
        <f t="shared" ca="1" si="22"/>
        <v>??</v>
      </c>
      <c r="BA98" s="696">
        <f t="shared" si="27"/>
        <v>52</v>
      </c>
    </row>
    <row r="99" spans="28:53" x14ac:dyDescent="0.25">
      <c r="AB99" s="718">
        <f>D42</f>
        <v>47</v>
      </c>
      <c r="AC99" s="1237" t="str">
        <f ca="1">AG27</f>
        <v>E1</v>
      </c>
      <c r="AD99" s="1237"/>
      <c r="AE99" s="1237" t="str">
        <f ca="1">AG29</f>
        <v>D4</v>
      </c>
      <c r="AF99" s="1237"/>
      <c r="AG99"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99)),$AQ$73,""),""),IF(ISERROR(SEARCH($AQ$74,AC99)),$AQ$74,""),""),IF(ISERROR(SEARCH($AQ$75,AC99)),$AQ$75,""),""),IF(ISERROR(SEARCH($AQ$76,AC99)),$AQ$76,""),""),IF(ISERROR(SEARCH($AQ$77,AC99)),$AQ$77,""),""),IF(ISERROR(SEARCH($AQ$78,AC99)),$AQ$78,""),""),IF(ISERROR(SEARCH($AQ$79,AC99)),$AQ$79,""),""),IF(ISERROR(SEARCH($AQ$80,AC99)),$AQ$80,""),""),IF(ISERROR(SEARCH($AQ$81,AC99)),$AQ$81,""),""),IF(ISERROR(SEARCH($AQ$82,AC99)),$AQ$82,""),""),IF(ISERROR(SEARCH($AQ$83,AC99)),$AQ$83,""),""),IF(ISERROR(SEARCH($AQ$84,AC99)),$AQ$84,""),""),IF(ISERROR(SEARCH($AQ$85,AC99)),$AQ$85,""),""),IF(ISERROR(SEARCH($AQ$86,AC99)),$AQ$86,""),""),IF(ISERROR(SEARCH($AQ$87,AC99)),$AQ$87,""),""),IF(ISERROR(SEARCH($AQ$88,AC99)),$AQ$88,""),""),IF(ISERROR(SEARCH($AQ$89,AC99)),$AQ$89,""),""),IF(ISERROR(SEARCH($AQ$90,AC99)),$AQ$90,""),""),IF(ISERROR(SEARCH($AQ$91,AC99)),$AQ$91,""),""),IF(ISERROR(SEARCH($AQ$92,AC99)),$AQ$92,""),""),IF(ISERROR(SEARCH($AQ$93,AC99)),$AQ$93,""),""),IF(ISERROR(SEARCH($AQ$94,AC99)),$AQ$94,""),""),IF(ISERROR(SEARCH($AQ$95,AC99)),$AQ$95,""),""),IF(ISERROR(SEARCH($AQ$96,AC99)),$AQ$96,""),""),IF(ISERROR(SEARCH($AQ$97,AC99)),$AQ$97,""),""),IF(ISERROR(SEARCH($AQ$98,AC99)),$AQ$98,""),""),IF(ISERROR(SEARCH($AQ$99,AC99)),$AQ$99,""),""),IF(ISERROR(SEARCH($AQ$100,AC99)),$AQ$100,""),""),IF(ISERROR(SEARCH($AQ$101,AC99)),$AQ$101,""),""),IF(ISERROR(SEARCH($AQ$102,AC99)),$AQ$102,""),""),IF(ISERROR(SEARCH($AQ$103,AC99)),$AQ$103,""),""),IF(ISERROR(SEARCH($AQ$104,AC99)),$AQ$104,""),"")</f>
        <v>E1</v>
      </c>
      <c r="AH99" s="1237"/>
      <c r="AI99"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99)),$AQ$73,""),""),IF(ISERROR(SEARCH($AQ$74,AE99)),$AQ$74,""),""),IF(ISERROR(SEARCH($AQ$75,AE99)),$AQ$75,""),""),IF(ISERROR(SEARCH($AQ$76,AE99)),$AQ$76,""),""),IF(ISERROR(SEARCH($AQ$77,AE99)),$AQ$77,""),""),IF(ISERROR(SEARCH($AQ$78,AE99)),$AQ$78,""),""),IF(ISERROR(SEARCH($AQ$79,AE99)),$AQ$79,""),""),IF(ISERROR(SEARCH($AQ$80,AE99)),$AQ$80,""),""),IF(ISERROR(SEARCH($AQ$81,AE99)),$AQ$81,""),""),IF(ISERROR(SEARCH($AQ$82,AE99)),$AQ$82,""),""),IF(ISERROR(SEARCH($AQ$83,AE99)),$AQ$83,""),""),IF(ISERROR(SEARCH($AQ$84,AE99)),$AQ$84,""),""),IF(ISERROR(SEARCH($AQ$85,AE99)),$AQ$85,""),""),IF(ISERROR(SEARCH($AQ$86,AE99)),$AQ$86,""),""),IF(ISERROR(SEARCH($AQ$87,AE99)),$AQ$87,""),""),IF(ISERROR(SEARCH($AQ$88,AE99)),$AQ$88,""),""),IF(ISERROR(SEARCH($AQ$89,AE99)),$AQ$89,""),""),IF(ISERROR(SEARCH($AQ$90,AE99)),$AQ$90,""),""),IF(ISERROR(SEARCH($AQ$91,AE99)),$AQ$91,""),""),IF(ISERROR(SEARCH($AQ$92,AE99)),$AQ$92,""),""),IF(ISERROR(SEARCH($AQ$93,AE99)),$AQ$93,""),""),IF(ISERROR(SEARCH($AQ$94,AE99)),$AQ$94,""),""),IF(ISERROR(SEARCH($AQ$95,AE99)),$AQ$95,""),""),IF(ISERROR(SEARCH($AQ$96,AE99)),$AQ$96,""),""),IF(ISERROR(SEARCH($AQ$97,AE99)),$AQ$97,""),""),IF(ISERROR(SEARCH($AQ$98,AE99)),$AQ$98,""),""),IF(ISERROR(SEARCH($AQ$99,AE99)),$AQ$99,""),""),IF(ISERROR(SEARCH($AQ$100,AE99)),$AQ$100,""),""),IF(ISERROR(SEARCH($AQ$101,AE99)),$AQ$101,""),""),IF(ISERROR(SEARCH($AQ$102,AE99)),$AQ$102,""),""),IF(ISERROR(SEARCH($AQ$103,AE99)),$AQ$103,""),""),IF(ISERROR(SEARCH($AQ$104,AE99)),$AQ$104,""),"")</f>
        <v>D4</v>
      </c>
      <c r="AJ99" s="1237"/>
      <c r="AK99" s="729" t="str">
        <f ca="1">AG99&amp;IF(AG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Q$92,IF(ISNUMBER(SEARCH($AQ$73,AC99)),$AQ$73,""),""),IF(ISNUMBER(SEARCH($AQ$74,AC99)),$AQ$74,""),""),IF(ISNUMBER(SEARCH($AQ$75,AC99)),$AQ$75,""),""),IF(ISNUMBER(SEARCH($AQ$76,AC99)),$AQ$76,""),""),IF(ISNUMBER(SEARCH($AQ$77,AC99)),$AQ$77,""),""),IF(ISNUMBER(SEARCH($AQ$78,AC99)),$AQ$78,""),""),IF(ISNUMBER(SEARCH($AQ$79,AC99)),$AQ$79,""),""),IF(ISNUMBER(SEARCH($AQ$80,AC99)),$AQ$80,""),""),IF(ISNUMBER(SEARCH($AQ$81,AC99)),$AQ$81,""),""),IF(ISNUMBER(SEARCH($AQ$82,AC99)),$AQ$82,""),""),IF(ISNUMBER(SEARCH($AQ$83,AC99)),$AQ$83,""),""),IF(ISNUMBER(SEARCH($AQ$84,AC99)),$AQ$84,""),""),IF(ISNUMBER(SEARCH($AQ$85,AC99)),$AQ$85,""),""),IF(ISNUMBER(SEARCH($AQ$86,AC99)),$AQ$86,""),""),IF(ISNUMBER(SEARCH($AQ$87,AC99)),$AQ$87,""),""),IF(ISNUMBER(SEARCH($AQ$88,AC99)),$AQ$88,""),""),IF(ISNUMBER(SEARCH($AQ$89,AC99)),$AQ$89,""),""),IF(ISNUMBER(SEARCH($AQ$90,AC99)),$AQ$90,""),""),IF(ISNUMBER(SEARCH($AQ$91,AC99)),$AQ$91,""),""),IF(ISNUMBER(SEARCH($AQ$92,AC99)),$AQ$92,""),""),IF(ISNUMBER(SEARCH($AQ$93,AC99)),$AQ$93,""),""),IF(ISNUMBER(SEARCH($AQ$94,AC99)),$AQ$94,""),""),IF(ISNUMBER(SEARCH($AQ$95,AC99)),$AQ$95,""),""),IF(ISNUMBER(SEARCH($AQ$96,AC99)),$AQ$96,""),""),IF(ISNUMBER(SEARCH($AQ$97,AC99)),$AQ$97,""),""),IF(ISNUMBER(SEARCH($AQ$98,AC99)),$AQ$98,""),""),IF(ISNUMBER(SEARCH($AQ$99,AC99)),$AQ$99,""),""),IF(ISNUMBER(SEARCH($AQ$100,AC99)),$AQ$100,""),""),IF(ISNUMBER(SEARCH($AQ$101,AC99)),$AQ$101,""),""),IF(ISNUMBER(SEARCH($AQ$102,AC99)),$AQ$102,""),""),IF(ISNUMBER(SEARCH($AQ$103,AC99)),$AQ$103,""),""),IF(ISNUMBER(SEARCH($AQ$104,AC99)),$AQ$104,""),"")&amp;REPT($AR$12,32)</f>
        <v>E1&amp;&amp;B4C2A1C4D4A3B3B2D2E4D3D1E3A2C3C1E2B1A4????????????????????????????????????????????????????????????????</v>
      </c>
      <c r="AL99" s="729" t="str">
        <f ca="1">AI99&amp;IF(AI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R$92,IF(ISNUMBER(SEARCH($AQ$73,AE99)),$AQ$73,""),""),IF(ISNUMBER(SEARCH($AQ$74,AE99)),$AQ$74,""),""),IF(ISNUMBER(SEARCH($AQ$75,AE99)),$AQ$75,""),""),IF(ISNUMBER(SEARCH($AQ$76,AE99)),$AQ$76,""),""),IF(ISNUMBER(SEARCH($AQ$77,AE99)),$AQ$77,""),""),IF(ISNUMBER(SEARCH($AQ$78,AE99)),$AQ$78,""),""),IF(ISNUMBER(SEARCH($AQ$79,AE99)),$AQ$79,""),""),IF(ISNUMBER(SEARCH($AQ$80,AE99)),$AQ$80,""),""),IF(ISNUMBER(SEARCH($AQ$81,AE99)),$AQ$81,""),""),IF(ISNUMBER(SEARCH($AQ$82,AE99)),$AQ$82,""),""),IF(ISNUMBER(SEARCH($AQ$83,AE99)),$AQ$83,""),""),IF(ISNUMBER(SEARCH($AQ$84,AE99)),$AQ$84,""),""),IF(ISNUMBER(SEARCH($AQ$85,AE99)),$AQ$85,""),""),IF(ISNUMBER(SEARCH($AQ$86,AE99)),$AQ$86,""),""),IF(ISNUMBER(SEARCH($AQ$87,AE99)),$AQ$87,""),""),IF(ISNUMBER(SEARCH($AQ$88,AE99)),$AQ$88,""),""),IF(ISNUMBER(SEARCH($AQ$89,AE99)),$AQ$89,""),""),IF(ISNUMBER(SEARCH($AQ$90,AE99)),$AQ$90,""),""),IF(ISNUMBER(SEARCH($AQ$91,AE99)),$AQ$91,""),""),IF(ISNUMBER(SEARCH($AQ$92,AE99)),$AQ$92,""),""),IF(ISNUMBER(SEARCH($AQ$93,AE99)),$AQ$93,""),""),IF(ISNUMBER(SEARCH($AQ$94,AE99)),$AQ$94,""),""),IF(ISNUMBER(SEARCH($AQ$95,AE99)),$AQ$95,""),""),IF(ISNUMBER(SEARCH($AQ$96,AE99)),$AQ$96,""),""),IF(ISNUMBER(SEARCH($AQ$97,AE99)),$AQ$97,""),""),IF(ISNUMBER(SEARCH($AQ$98,AE99)),$AQ$98,""),""),IF(ISNUMBER(SEARCH($AQ$99,AE99)),$AQ$99,""),""),IF(ISNUMBER(SEARCH($AQ$100,AE99)),$AQ$100,""),""),IF(ISNUMBER(SEARCH($AQ$101,AE99)),$AQ$101,""),""),IF(ISNUMBER(SEARCH($AQ$102,AE99)),$AQ$102,""),""),IF(ISNUMBER(SEARCH($AQ$103,AE99)),$AQ$103,""),""),IF(ISNUMBER(SEARCH($AQ$104,AE99)),$AQ$104,""),"")&amp;REPT($AR$12,32)</f>
        <v>D4&amp;&amp;F2D2D3D1F3F4F1????????????????????????????????????????????????????????????????</v>
      </c>
      <c r="AM99" s="1248" t="str">
        <f ca="1">IF(AG99="","",IF(LEN(AG99)&gt;=2,VLOOKUP(LEFT(AG99,2),Voorblad!$X$67:$Y$98,2)&amp;IF(LEN(AG99)&gt;=4," / "&amp;VLOOKUP(RIGHT(LEFT(AG99,4),2),Voorblad!$X$67:$Y$98,2),""),""))</f>
        <v>België</v>
      </c>
      <c r="AN99" s="1248"/>
      <c r="AO99" s="718" t="str">
        <f ca="1">IF(AI99="","",IF(LEN(AI99)&gt;=2,VLOOKUP(LEFT(AI99,2),Voorblad!$X$67:$Y$98,2)&amp;IF(LEN(AI99)&gt;=4," / "&amp;VLOOKUP(RIGHT(LEFT(AI99,4),2),Voorblad!$X$67:$Y$98,2),""),""))</f>
        <v>Frankrijk</v>
      </c>
      <c r="AP99" s="266"/>
      <c r="AQ99" s="710" t="str">
        <f ca="1">Voorblad!AA93</f>
        <v>G3</v>
      </c>
      <c r="AR99" s="711"/>
      <c r="AS99" s="693" t="str">
        <f ca="1">IF(AT99=$AR$11,$AQ$11,IF(AT99=$AR$12,$AQ$12,VLOOKUP(AT99,Voorblad!$X$67:$Z$98,2,FALSE)))</f>
        <v/>
      </c>
      <c r="AT99" s="694" t="str">
        <f t="shared" ca="1" si="19"/>
        <v>??</v>
      </c>
      <c r="AU99" s="693" t="str">
        <f ca="1">IF(AV99=$AR$11,$AQ$11,IF(AV99=$AR$12,$AQ$12,VLOOKUP(AV99,Voorblad!$X$67:$Z$98,2,FALSE)))</f>
        <v/>
      </c>
      <c r="AV99" s="694" t="str">
        <f t="shared" ca="1" si="20"/>
        <v>??</v>
      </c>
      <c r="AW99" s="693" t="str">
        <f ca="1">IF(AX99=$AR$11,$AQ$11,IF(AX99=$AR$12,$AQ$12,VLOOKUP(AX99,Voorblad!$X$67:$Z$98,2,FALSE)))</f>
        <v/>
      </c>
      <c r="AX99" s="694" t="str">
        <f t="shared" ca="1" si="21"/>
        <v>??</v>
      </c>
      <c r="AY99" s="693" t="str">
        <f ca="1">IF(AZ99=$AR$11,$AQ$11,IF(AZ99=$AR$12,$AQ$12,VLOOKUP(AZ99,Voorblad!$X$67:$Z$98,2,FALSE)))</f>
        <v/>
      </c>
      <c r="AZ99" s="694" t="str">
        <f t="shared" ca="1" si="22"/>
        <v>??</v>
      </c>
      <c r="BA99" s="696">
        <f t="shared" si="27"/>
        <v>54</v>
      </c>
    </row>
    <row r="100" spans="28:53" x14ac:dyDescent="0.25">
      <c r="AB100" s="268"/>
      <c r="AC100" s="852"/>
      <c r="AD100" s="852"/>
      <c r="AE100" s="852"/>
      <c r="AF100" s="852"/>
      <c r="AG100" s="852"/>
      <c r="AH100" s="852"/>
      <c r="AI100" s="852"/>
      <c r="AJ100" s="852"/>
      <c r="AK100" s="852"/>
      <c r="AL100" s="852"/>
      <c r="AM100" s="268"/>
      <c r="AN100" s="268"/>
      <c r="AO100" s="268"/>
      <c r="AP100" s="266"/>
      <c r="AQ100" s="710" t="str">
        <f ca="1">Voorblad!AA94</f>
        <v>G4</v>
      </c>
      <c r="AR100" s="711"/>
      <c r="AS100" s="693" t="str">
        <f ca="1">IF(AT100=$AR$11,$AQ$11,IF(AT100=$AR$12,$AQ$12,VLOOKUP(AT100,Voorblad!$X$67:$Z$98,2,FALSE)))</f>
        <v/>
      </c>
      <c r="AT100" s="694" t="str">
        <f t="shared" ca="1" si="19"/>
        <v>??</v>
      </c>
      <c r="AU100" s="693" t="str">
        <f ca="1">IF(AV100=$AR$11,$AQ$11,IF(AV100=$AR$12,$AQ$12,VLOOKUP(AV100,Voorblad!$X$67:$Z$98,2,FALSE)))</f>
        <v/>
      </c>
      <c r="AV100" s="694" t="str">
        <f t="shared" ca="1" si="20"/>
        <v>??</v>
      </c>
      <c r="AW100" s="693" t="str">
        <f ca="1">IF(AX100=$AR$11,$AQ$11,IF(AX100=$AR$12,$AQ$12,VLOOKUP(AX100,Voorblad!$X$67:$Z$98,2,FALSE)))</f>
        <v/>
      </c>
      <c r="AX100" s="694" t="str">
        <f t="shared" ca="1" si="21"/>
        <v>??</v>
      </c>
      <c r="AY100" s="693" t="str">
        <f ca="1">IF(AZ100=$AR$11,$AQ$11,IF(AZ100=$AR$12,$AQ$12,VLOOKUP(AZ100,Voorblad!$X$67:$Z$98,2,FALSE)))</f>
        <v/>
      </c>
      <c r="AZ100" s="694" t="str">
        <f t="shared" ca="1" si="22"/>
        <v>??</v>
      </c>
      <c r="BA100" s="696">
        <f t="shared" si="27"/>
        <v>56</v>
      </c>
    </row>
    <row r="101" spans="28:53" x14ac:dyDescent="0.25">
      <c r="AB101" s="720" t="str">
        <f>$AB$85</f>
        <v>nr.</v>
      </c>
      <c r="AC101" s="1196" t="str">
        <f>$AC$85</f>
        <v>suggestie - thuis</v>
      </c>
      <c r="AD101" s="1196"/>
      <c r="AE101" s="1196" t="str">
        <f>$AE$85</f>
        <v>suggestie - uit</v>
      </c>
      <c r="AF101" s="1196"/>
      <c r="AG101" s="1196" t="str">
        <f>$AG$85</f>
        <v>thuis code</v>
      </c>
      <c r="AH101" s="1196"/>
      <c r="AI101" s="1196" t="str">
        <f>$AG$85</f>
        <v>thuis code</v>
      </c>
      <c r="AJ101" s="1196"/>
      <c r="AK101" s="764" t="str">
        <f>$AK$85</f>
        <v>thuis menu</v>
      </c>
      <c r="AL101" s="764" t="str">
        <f>$AL$85</f>
        <v>uit menu</v>
      </c>
      <c r="AM101" s="1197" t="str">
        <f>$AM$85</f>
        <v>thuis (landen)</v>
      </c>
      <c r="AN101" s="1197"/>
      <c r="AO101" s="721" t="str">
        <f>$AO$85</f>
        <v>uit (landen)</v>
      </c>
      <c r="AP101" s="266"/>
      <c r="AQ101" s="710" t="str">
        <f ca="1">Voorblad!AA95</f>
        <v>H1</v>
      </c>
      <c r="AR101" s="711"/>
      <c r="AS101" s="693" t="str">
        <f ca="1">IF(AT101=$AR$11,$AQ$11,IF(AT101=$AR$12,$AQ$12,VLOOKUP(AT101,Voorblad!$X$67:$Z$98,2,FALSE)))</f>
        <v/>
      </c>
      <c r="AT101" s="694" t="str">
        <f t="shared" ca="1" si="19"/>
        <v>??</v>
      </c>
      <c r="AU101" s="693" t="str">
        <f ca="1">IF(AV101=$AR$11,$AQ$11,IF(AV101=$AR$12,$AQ$12,VLOOKUP(AV101,Voorblad!$X$67:$Z$98,2,FALSE)))</f>
        <v/>
      </c>
      <c r="AV101" s="694" t="str">
        <f t="shared" ca="1" si="20"/>
        <v>??</v>
      </c>
      <c r="AW101" s="693" t="str">
        <f ca="1">IF(AX101=$AR$11,$AQ$11,IF(AX101=$AR$12,$AQ$12,VLOOKUP(AX101,Voorblad!$X$67:$Z$98,2,FALSE)))</f>
        <v/>
      </c>
      <c r="AX101" s="694" t="str">
        <f t="shared" ca="1" si="21"/>
        <v>??</v>
      </c>
      <c r="AY101" s="693" t="str">
        <f ca="1">IF(AZ101=$AR$11,$AQ$11,IF(AZ101=$AR$12,$AQ$12,VLOOKUP(AZ101,Voorblad!$X$67:$Z$98,2,FALSE)))</f>
        <v/>
      </c>
      <c r="AZ101" s="694" t="str">
        <f t="shared" ca="1" si="22"/>
        <v>??</v>
      </c>
      <c r="BA101" s="696">
        <f t="shared" si="27"/>
        <v>58</v>
      </c>
    </row>
    <row r="102" spans="28:53" x14ac:dyDescent="0.25">
      <c r="AB102" s="717">
        <f>D46</f>
        <v>49</v>
      </c>
      <c r="AC102" s="1238" t="str">
        <f ca="1">AG37</f>
        <v>B1A1</v>
      </c>
      <c r="AD102" s="1238"/>
      <c r="AE102" s="1238" t="str">
        <f ca="1">AG39</f>
        <v>F3D2</v>
      </c>
      <c r="AF102" s="1238"/>
      <c r="AG10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102)),$AQ$73,""),""),IF(ISERROR(SEARCH($AQ$74,AC102)),$AQ$74,""),""),IF(ISERROR(SEARCH($AQ$75,AC102)),$AQ$75,""),""),IF(ISERROR(SEARCH($AQ$76,AC102)),$AQ$76,""),""),IF(ISERROR(SEARCH($AQ$77,AC102)),$AQ$77,""),""),IF(ISERROR(SEARCH($AQ$78,AC102)),$AQ$78,""),""),IF(ISERROR(SEARCH($AQ$79,AC102)),$AQ$79,""),""),IF(ISERROR(SEARCH($AQ$80,AC102)),$AQ$80,""),""),IF(ISERROR(SEARCH($AQ$81,AC102)),$AQ$81,""),""),IF(ISERROR(SEARCH($AQ$82,AC102)),$AQ$82,""),""),IF(ISERROR(SEARCH($AQ$83,AC102)),$AQ$83,""),""),IF(ISERROR(SEARCH($AQ$84,AC102)),$AQ$84,""),""),IF(ISERROR(SEARCH($AQ$85,AC102)),$AQ$85,""),""),IF(ISERROR(SEARCH($AQ$86,AC102)),$AQ$86,""),""),IF(ISERROR(SEARCH($AQ$87,AC102)),$AQ$87,""),""),IF(ISERROR(SEARCH($AQ$88,AC102)),$AQ$88,""),""),IF(ISERROR(SEARCH($AQ$89,AC102)),$AQ$89,""),""),IF(ISERROR(SEARCH($AQ$90,AC102)),$AQ$90,""),""),IF(ISERROR(SEARCH($AQ$91,AC102)),$AQ$91,""),""),IF(ISERROR(SEARCH($AQ$92,AC102)),$AQ$92,""),""),IF(ISERROR(SEARCH($AQ$93,AC102)),$AQ$93,""),""),IF(ISERROR(SEARCH($AQ$94,AC102)),$AQ$94,""),""),IF(ISERROR(SEARCH($AQ$95,AC102)),$AQ$95,""),""),IF(ISERROR(SEARCH($AQ$96,AC102)),$AQ$96,""),""),IF(ISERROR(SEARCH($AQ$97,AC102)),$AQ$97,""),""),IF(ISERROR(SEARCH($AQ$98,AC102)),$AQ$98,""),""),IF(ISERROR(SEARCH($AQ$99,AC102)),$AQ$99,""),""),IF(ISERROR(SEARCH($AQ$100,AC102)),$AQ$100,""),""),IF(ISERROR(SEARCH($AQ$101,AC102)),$AQ$101,""),""),IF(ISERROR(SEARCH($AQ$102,AC102)),$AQ$102,""),""),IF(ISERROR(SEARCH($AQ$103,AC102)),$AQ$103,""),""),IF(ISERROR(SEARCH($AQ$104,AC102)),$AQ$104,""),"")</f>
        <v>A1B1</v>
      </c>
      <c r="AH102" s="1238"/>
      <c r="AI10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102)),$AQ$73,""),""),IF(ISERROR(SEARCH($AQ$74,AE102)),$AQ$74,""),""),IF(ISERROR(SEARCH($AQ$75,AE102)),$AQ$75,""),""),IF(ISERROR(SEARCH($AQ$76,AE102)),$AQ$76,""),""),IF(ISERROR(SEARCH($AQ$77,AE102)),$AQ$77,""),""),IF(ISERROR(SEARCH($AQ$78,AE102)),$AQ$78,""),""),IF(ISERROR(SEARCH($AQ$79,AE102)),$AQ$79,""),""),IF(ISERROR(SEARCH($AQ$80,AE102)),$AQ$80,""),""),IF(ISERROR(SEARCH($AQ$81,AE102)),$AQ$81,""),""),IF(ISERROR(SEARCH($AQ$82,AE102)),$AQ$82,""),""),IF(ISERROR(SEARCH($AQ$83,AE102)),$AQ$83,""),""),IF(ISERROR(SEARCH($AQ$84,AE102)),$AQ$84,""),""),IF(ISERROR(SEARCH($AQ$85,AE102)),$AQ$85,""),""),IF(ISERROR(SEARCH($AQ$86,AE102)),$AQ$86,""),""),IF(ISERROR(SEARCH($AQ$87,AE102)),$AQ$87,""),""),IF(ISERROR(SEARCH($AQ$88,AE102)),$AQ$88,""),""),IF(ISERROR(SEARCH($AQ$89,AE102)),$AQ$89,""),""),IF(ISERROR(SEARCH($AQ$90,AE102)),$AQ$90,""),""),IF(ISERROR(SEARCH($AQ$91,AE102)),$AQ$91,""),""),IF(ISERROR(SEARCH($AQ$92,AE102)),$AQ$92,""),""),IF(ISERROR(SEARCH($AQ$93,AE102)),$AQ$93,""),""),IF(ISERROR(SEARCH($AQ$94,AE102)),$AQ$94,""),""),IF(ISERROR(SEARCH($AQ$95,AE102)),$AQ$95,""),""),IF(ISERROR(SEARCH($AQ$96,AE102)),$AQ$96,""),""),IF(ISERROR(SEARCH($AQ$97,AE102)),$AQ$97,""),""),IF(ISERROR(SEARCH($AQ$98,AE102)),$AQ$98,""),""),IF(ISERROR(SEARCH($AQ$99,AE102)),$AQ$99,""),""),IF(ISERROR(SEARCH($AQ$100,AE102)),$AQ$100,""),""),IF(ISERROR(SEARCH($AQ$101,AE102)),$AQ$101,""),""),IF(ISERROR(SEARCH($AQ$102,AE102)),$AQ$102,""),""),IF(ISERROR(SEARCH($AQ$103,AE102)),$AQ$103,""),""),IF(ISERROR(SEARCH($AQ$104,AE102)),$AQ$104,""),"")</f>
        <v>D2F3</v>
      </c>
      <c r="AJ102" s="1238"/>
      <c r="AK102" s="728" t="str">
        <f ca="1">AG102&amp;IF(AG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102)),$AQ$73,""),""),IF(ISNUMBER(SEARCH($AQ$74,AC102)),$AQ$74,""),""),IF(ISNUMBER(SEARCH($AQ$75,AC102)),$AQ$75,""),""),IF(ISNUMBER(SEARCH($AQ$76,AC102)),$AQ$76,""),""),IF(ISNUMBER(SEARCH($AQ$77,AC102)),$AQ$77,""),""),IF(ISNUMBER(SEARCH($AQ$78,AC102)),$AQ$78,""),""),IF(ISNUMBER(SEARCH($AQ$79,AC102)),$AQ$79,""),""),IF(ISNUMBER(SEARCH($AQ$80,AC102)),$AQ$80,""),""),IF(ISNUMBER(SEARCH($AQ$81,AC102)),$AQ$81,""),""),IF(ISNUMBER(SEARCH($AQ$82,AC102)),$AQ$82,""),""),IF(ISNUMBER(SEARCH($AQ$83,AC102)),$AQ$83,""),""),IF(ISNUMBER(SEARCH($AQ$84,AC102)),$AQ$84,""),""),IF(ISNUMBER(SEARCH($AQ$85,AC102)),$AQ$85,""),""),IF(ISNUMBER(SEARCH($AQ$86,AC102)),$AQ$86,""),""),IF(ISNUMBER(SEARCH($AQ$87,AC102)),$AQ$87,""),""),IF(ISNUMBER(SEARCH($AQ$88,AC102)),$AQ$88,""),""),IF(ISNUMBER(SEARCH($AQ$89,AC102)),$AQ$89,""),""),IF(ISNUMBER(SEARCH($AQ$90,AC102)),$AQ$90,""),""),IF(ISNUMBER(SEARCH($AQ$91,AC102)),$AQ$91,""),""),IF(ISNUMBER(SEARCH($AQ$92,AC102)),$AQ$92,""),""),IF(ISNUMBER(SEARCH($AQ$93,AC102)),$AQ$93,""),""),IF(ISNUMBER(SEARCH($AQ$94,AC102)),$AQ$94,""),""),IF(ISNUMBER(SEARCH($AQ$95,AC102)),$AQ$95,""),""),IF(ISNUMBER(SEARCH($AQ$96,AC102)),$AQ$96,""),""),IF(ISNUMBER(SEARCH($AQ$97,AC102)),$AQ$97,""),""),IF(ISNUMBER(SEARCH($AQ$98,AC102)),$AQ$98,""),""),IF(ISNUMBER(SEARCH($AQ$99,AC102)),$AQ$99,""),""),IF(ISNUMBER(SEARCH($AQ$100,AC102)),$AQ$100,""),""),IF(ISNUMBER(SEARCH($AQ$101,AC102)),$AQ$101,""),""),IF(ISNUMBER(SEARCH($AQ$102,AC102)),$AQ$102,""),""),IF(ISNUMBER(SEARCH($AQ$103,AC102)),$AQ$103,""),""),IF(ISNUMBER(SEARCH($AQ$104,AC102)),$AQ$104,""),"")&amp;REPT($AR$12,32)</f>
        <v>A1B1&amp;&amp;B4E1C2C4D4F2A3B3B2D2E4D3D1F3E3A2C3C1E2F4F1A4????????????????????????????????????????????????????????????????</v>
      </c>
      <c r="AL102" s="728" t="str">
        <f ca="1">AI102&amp;IF(AI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102)),$AQ$73,""),""),IF(ISNUMBER(SEARCH($AQ$74,AE102)),$AQ$74,""),""),IF(ISNUMBER(SEARCH($AQ$75,AE102)),$AQ$75,""),""),IF(ISNUMBER(SEARCH($AQ$76,AE102)),$AQ$76,""),""),IF(ISNUMBER(SEARCH($AQ$77,AE102)),$AQ$77,""),""),IF(ISNUMBER(SEARCH($AQ$78,AE102)),$AQ$78,""),""),IF(ISNUMBER(SEARCH($AQ$79,AE102)),$AQ$79,""),""),IF(ISNUMBER(SEARCH($AQ$80,AE102)),$AQ$80,""),""),IF(ISNUMBER(SEARCH($AQ$81,AE102)),$AQ$81,""),""),IF(ISNUMBER(SEARCH($AQ$82,AE102)),$AQ$82,""),""),IF(ISNUMBER(SEARCH($AQ$83,AE102)),$AQ$83,""),""),IF(ISNUMBER(SEARCH($AQ$84,AE102)),$AQ$84,""),""),IF(ISNUMBER(SEARCH($AQ$85,AE102)),$AQ$85,""),""),IF(ISNUMBER(SEARCH($AQ$86,AE102)),$AQ$86,""),""),IF(ISNUMBER(SEARCH($AQ$87,AE102)),$AQ$87,""),""),IF(ISNUMBER(SEARCH($AQ$88,AE102)),$AQ$88,""),""),IF(ISNUMBER(SEARCH($AQ$89,AE102)),$AQ$89,""),""),IF(ISNUMBER(SEARCH($AQ$90,AE102)),$AQ$90,""),""),IF(ISNUMBER(SEARCH($AQ$91,AE102)),$AQ$91,""),""),IF(ISNUMBER(SEARCH($AQ$92,AE102)),$AQ$92,""),""),IF(ISNUMBER(SEARCH($AQ$93,AE102)),$AQ$93,""),""),IF(ISNUMBER(SEARCH($AQ$94,AE102)),$AQ$94,""),""),IF(ISNUMBER(SEARCH($AQ$95,AE102)),$AQ$95,""),""),IF(ISNUMBER(SEARCH($AQ$96,AE102)),$AQ$96,""),""),IF(ISNUMBER(SEARCH($AQ$97,AE102)),$AQ$97,""),""),IF(ISNUMBER(SEARCH($AQ$98,AE102)),$AQ$98,""),""),IF(ISNUMBER(SEARCH($AQ$99,AE102)),$AQ$99,""),""),IF(ISNUMBER(SEARCH($AQ$100,AE102)),$AQ$100,""),""),IF(ISNUMBER(SEARCH($AQ$101,AE102)),$AQ$101,""),""),IF(ISNUMBER(SEARCH($AQ$102,AE102)),$AQ$102,""),""),IF(ISNUMBER(SEARCH($AQ$103,AE102)),$AQ$103,""),""),IF(ISNUMBER(SEARCH($AQ$104,AE102)),$AQ$104,""),"")&amp;REPT($AR$12,32)</f>
        <v>D2F3&amp;&amp;B4E1C2A1C4D4F2A3B3B2E4D3D1E3A2C3C1E2B1F4F1A4????????????????????????????????????????????????????????????????</v>
      </c>
      <c r="AM102" s="1247" t="str">
        <f ca="1">IF(AG102="","",IF(LEN(AG102)&gt;=2,VLOOKUP(LEFT(AG102,2),Voorblad!$X$67:$Y$98,2)&amp;IF(LEN(AG102)&gt;=4," / "&amp;VLOOKUP(RIGHT(LEFT(AG102,4),2),Voorblad!$X$67:$Y$98,2),""),""))</f>
        <v>Duitsland / Spanje</v>
      </c>
      <c r="AN102" s="1247"/>
      <c r="AO102" s="717" t="str">
        <f ca="1">IF(AI102="","",IF(LEN(AI102)&gt;=2,VLOOKUP(LEFT(AI102,2),Voorblad!$X$67:$Y$98,2)&amp;IF(LEN(AI102)&gt;=4," / "&amp;VLOOKUP(RIGHT(LEFT(AI102,4),2),Voorblad!$X$67:$Y$98,2),""),""))</f>
        <v>Nederland / Portugal</v>
      </c>
      <c r="AP102" s="266"/>
      <c r="AQ102" s="710" t="str">
        <f ca="1">Voorblad!AA96</f>
        <v>H2</v>
      </c>
      <c r="AR102" s="711"/>
      <c r="AS102" s="693" t="str">
        <f ca="1">IF(AT102=$AR$11,$AQ$11,IF(AT102=$AR$12,$AQ$12,VLOOKUP(AT102,Voorblad!$X$67:$Z$98,2,FALSE)))</f>
        <v/>
      </c>
      <c r="AT102" s="694" t="str">
        <f t="shared" ca="1" si="19"/>
        <v>??</v>
      </c>
      <c r="AU102" s="693" t="str">
        <f ca="1">IF(AV102=$AR$11,$AQ$11,IF(AV102=$AR$12,$AQ$12,VLOOKUP(AV102,Voorblad!$X$67:$Z$98,2,FALSE)))</f>
        <v/>
      </c>
      <c r="AV102" s="694" t="str">
        <f t="shared" ca="1" si="20"/>
        <v>??</v>
      </c>
      <c r="AW102" s="693" t="str">
        <f ca="1">IF(AX102=$AR$11,$AQ$11,IF(AX102=$AR$12,$AQ$12,VLOOKUP(AX102,Voorblad!$X$67:$Z$98,2,FALSE)))</f>
        <v/>
      </c>
      <c r="AX102" s="694" t="str">
        <f t="shared" ca="1" si="21"/>
        <v>??</v>
      </c>
      <c r="AY102" s="693" t="str">
        <f ca="1">IF(AZ102=$AR$11,$AQ$11,IF(AZ102=$AR$12,$AQ$12,VLOOKUP(AZ102,Voorblad!$X$67:$Z$98,2,FALSE)))</f>
        <v/>
      </c>
      <c r="AZ102" s="694" t="str">
        <f t="shared" ca="1" si="22"/>
        <v>??</v>
      </c>
      <c r="BA102" s="696">
        <f t="shared" si="27"/>
        <v>60</v>
      </c>
    </row>
    <row r="103" spans="28:53" x14ac:dyDescent="0.25">
      <c r="AB103" s="718">
        <f>D48</f>
        <v>50</v>
      </c>
      <c r="AC103" s="1237" t="str">
        <f ca="1">AG43</f>
        <v>D4</v>
      </c>
      <c r="AD103" s="1237"/>
      <c r="AE103" s="1237" t="str">
        <f ca="1">AG41</f>
        <v>C4</v>
      </c>
      <c r="AF103" s="1237"/>
      <c r="AG103"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103)),$AQ$73,""),""),IF(ISERROR(SEARCH($AQ$74,AC103)),$AQ$74,""),""),IF(ISERROR(SEARCH($AQ$75,AC103)),$AQ$75,""),""),IF(ISERROR(SEARCH($AQ$76,AC103)),$AQ$76,""),""),IF(ISERROR(SEARCH($AQ$77,AC103)),$AQ$77,""),""),IF(ISERROR(SEARCH($AQ$78,AC103)),$AQ$78,""),""),IF(ISERROR(SEARCH($AQ$79,AC103)),$AQ$79,""),""),IF(ISERROR(SEARCH($AQ$80,AC103)),$AQ$80,""),""),IF(ISERROR(SEARCH($AQ$81,AC103)),$AQ$81,""),""),IF(ISERROR(SEARCH($AQ$82,AC103)),$AQ$82,""),""),IF(ISERROR(SEARCH($AQ$83,AC103)),$AQ$83,""),""),IF(ISERROR(SEARCH($AQ$84,AC103)),$AQ$84,""),""),IF(ISERROR(SEARCH($AQ$85,AC103)),$AQ$85,""),""),IF(ISERROR(SEARCH($AQ$86,AC103)),$AQ$86,""),""),IF(ISERROR(SEARCH($AQ$87,AC103)),$AQ$87,""),""),IF(ISERROR(SEARCH($AQ$88,AC103)),$AQ$88,""),""),IF(ISERROR(SEARCH($AQ$89,AC103)),$AQ$89,""),""),IF(ISERROR(SEARCH($AQ$90,AC103)),$AQ$90,""),""),IF(ISERROR(SEARCH($AQ$91,AC103)),$AQ$91,""),""),IF(ISERROR(SEARCH($AQ$92,AC103)),$AQ$92,""),""),IF(ISERROR(SEARCH($AQ$93,AC103)),$AQ$93,""),""),IF(ISERROR(SEARCH($AQ$94,AC103)),$AQ$94,""),""),IF(ISERROR(SEARCH($AQ$95,AC103)),$AQ$95,""),""),IF(ISERROR(SEARCH($AQ$96,AC103)),$AQ$96,""),""),IF(ISERROR(SEARCH($AQ$97,AC103)),$AQ$97,""),""),IF(ISERROR(SEARCH($AQ$98,AC103)),$AQ$98,""),""),IF(ISERROR(SEARCH($AQ$99,AC103)),$AQ$99,""),""),IF(ISERROR(SEARCH($AQ$100,AC103)),$AQ$100,""),""),IF(ISERROR(SEARCH($AQ$101,AC103)),$AQ$101,""),""),IF(ISERROR(SEARCH($AQ$102,AC103)),$AQ$102,""),""),IF(ISERROR(SEARCH($AQ$103,AC103)),$AQ$103,""),""),IF(ISERROR(SEARCH($AQ$104,AC103)),$AQ$104,""),"")</f>
        <v>D4</v>
      </c>
      <c r="AH103" s="1237"/>
      <c r="AI103"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103)),$AQ$73,""),""),IF(ISERROR(SEARCH($AQ$74,AE103)),$AQ$74,""),""),IF(ISERROR(SEARCH($AQ$75,AE103)),$AQ$75,""),""),IF(ISERROR(SEARCH($AQ$76,AE103)),$AQ$76,""),""),IF(ISERROR(SEARCH($AQ$77,AE103)),$AQ$77,""),""),IF(ISERROR(SEARCH($AQ$78,AE103)),$AQ$78,""),""),IF(ISERROR(SEARCH($AQ$79,AE103)),$AQ$79,""),""),IF(ISERROR(SEARCH($AQ$80,AE103)),$AQ$80,""),""),IF(ISERROR(SEARCH($AQ$81,AE103)),$AQ$81,""),""),IF(ISERROR(SEARCH($AQ$82,AE103)),$AQ$82,""),""),IF(ISERROR(SEARCH($AQ$83,AE103)),$AQ$83,""),""),IF(ISERROR(SEARCH($AQ$84,AE103)),$AQ$84,""),""),IF(ISERROR(SEARCH($AQ$85,AE103)),$AQ$85,""),""),IF(ISERROR(SEARCH($AQ$86,AE103)),$AQ$86,""),""),IF(ISERROR(SEARCH($AQ$87,AE103)),$AQ$87,""),""),IF(ISERROR(SEARCH($AQ$88,AE103)),$AQ$88,""),""),IF(ISERROR(SEARCH($AQ$89,AE103)),$AQ$89,""),""),IF(ISERROR(SEARCH($AQ$90,AE103)),$AQ$90,""),""),IF(ISERROR(SEARCH($AQ$91,AE103)),$AQ$91,""),""),IF(ISERROR(SEARCH($AQ$92,AE103)),$AQ$92,""),""),IF(ISERROR(SEARCH($AQ$93,AE103)),$AQ$93,""),""),IF(ISERROR(SEARCH($AQ$94,AE103)),$AQ$94,""),""),IF(ISERROR(SEARCH($AQ$95,AE103)),$AQ$95,""),""),IF(ISERROR(SEARCH($AQ$96,AE103)),$AQ$96,""),""),IF(ISERROR(SEARCH($AQ$97,AE103)),$AQ$97,""),""),IF(ISERROR(SEARCH($AQ$98,AE103)),$AQ$98,""),""),IF(ISERROR(SEARCH($AQ$99,AE103)),$AQ$99,""),""),IF(ISERROR(SEARCH($AQ$100,AE103)),$AQ$100,""),""),IF(ISERROR(SEARCH($AQ$101,AE103)),$AQ$101,""),""),IF(ISERROR(SEARCH($AQ$102,AE103)),$AQ$102,""),""),IF(ISERROR(SEARCH($AQ$103,AE103)),$AQ$103,""),""),IF(ISERROR(SEARCH($AQ$104,AE103)),$AQ$104,""),"")</f>
        <v>C4</v>
      </c>
      <c r="AJ103" s="1237"/>
      <c r="AK103" s="729" t="str">
        <f ca="1">AG103&amp;IF(AG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103)),$AQ$73,""),""),IF(ISNUMBER(SEARCH($AQ$74,AC103)),$AQ$74,""),""),IF(ISNUMBER(SEARCH($AQ$75,AC103)),$AQ$75,""),""),IF(ISNUMBER(SEARCH($AQ$76,AC103)),$AQ$76,""),""),IF(ISNUMBER(SEARCH($AQ$77,AC103)),$AQ$77,""),""),IF(ISNUMBER(SEARCH($AQ$78,AC103)),$AQ$78,""),""),IF(ISNUMBER(SEARCH($AQ$79,AC103)),$AQ$79,""),""),IF(ISNUMBER(SEARCH($AQ$80,AC103)),$AQ$80,""),""),IF(ISNUMBER(SEARCH($AQ$81,AC103)),$AQ$81,""),""),IF(ISNUMBER(SEARCH($AQ$82,AC103)),$AQ$82,""),""),IF(ISNUMBER(SEARCH($AQ$83,AC103)),$AQ$83,""),""),IF(ISNUMBER(SEARCH($AQ$84,AC103)),$AQ$84,""),""),IF(ISNUMBER(SEARCH($AQ$85,AC103)),$AQ$85,""),""),IF(ISNUMBER(SEARCH($AQ$86,AC103)),$AQ$86,""),""),IF(ISNUMBER(SEARCH($AQ$87,AC103)),$AQ$87,""),""),IF(ISNUMBER(SEARCH($AQ$88,AC103)),$AQ$88,""),""),IF(ISNUMBER(SEARCH($AQ$89,AC103)),$AQ$89,""),""),IF(ISNUMBER(SEARCH($AQ$90,AC103)),$AQ$90,""),""),IF(ISNUMBER(SEARCH($AQ$91,AC103)),$AQ$91,""),""),IF(ISNUMBER(SEARCH($AQ$92,AC103)),$AQ$92,""),""),IF(ISNUMBER(SEARCH($AQ$93,AC103)),$AQ$93,""),""),IF(ISNUMBER(SEARCH($AQ$94,AC103)),$AQ$94,""),""),IF(ISNUMBER(SEARCH($AQ$95,AC103)),$AQ$95,""),""),IF(ISNUMBER(SEARCH($AQ$96,AC103)),$AQ$96,""),""),IF(ISNUMBER(SEARCH($AQ$97,AC103)),$AQ$97,""),""),IF(ISNUMBER(SEARCH($AQ$98,AC103)),$AQ$98,""),""),IF(ISNUMBER(SEARCH($AQ$99,AC103)),$AQ$99,""),""),IF(ISNUMBER(SEARCH($AQ$100,AC103)),$AQ$100,""),""),IF(ISNUMBER(SEARCH($AQ$101,AC103)),$AQ$101,""),""),IF(ISNUMBER(SEARCH($AQ$102,AC103)),$AQ$102,""),""),IF(ISNUMBER(SEARCH($AQ$103,AC103)),$AQ$103,""),""),IF(ISNUMBER(SEARCH($AQ$104,AC103)),$AQ$104,""),"")&amp;REPT($AR$12,32)</f>
        <v>D4&amp;&amp;B4E1C2A1C4F2A3B3B2D2E4D3D1F3E3A2C3C1E2B1F4F1A4????????????????????????????????????????????????????????????????</v>
      </c>
      <c r="AL103" s="729" t="str">
        <f ca="1">AI103&amp;IF(AI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103)),$AQ$73,""),""),IF(ISNUMBER(SEARCH($AQ$74,AE103)),$AQ$74,""),""),IF(ISNUMBER(SEARCH($AQ$75,AE103)),$AQ$75,""),""),IF(ISNUMBER(SEARCH($AQ$76,AE103)),$AQ$76,""),""),IF(ISNUMBER(SEARCH($AQ$77,AE103)),$AQ$77,""),""),IF(ISNUMBER(SEARCH($AQ$78,AE103)),$AQ$78,""),""),IF(ISNUMBER(SEARCH($AQ$79,AE103)),$AQ$79,""),""),IF(ISNUMBER(SEARCH($AQ$80,AE103)),$AQ$80,""),""),IF(ISNUMBER(SEARCH($AQ$81,AE103)),$AQ$81,""),""),IF(ISNUMBER(SEARCH($AQ$82,AE103)),$AQ$82,""),""),IF(ISNUMBER(SEARCH($AQ$83,AE103)),$AQ$83,""),""),IF(ISNUMBER(SEARCH($AQ$84,AE103)),$AQ$84,""),""),IF(ISNUMBER(SEARCH($AQ$85,AE103)),$AQ$85,""),""),IF(ISNUMBER(SEARCH($AQ$86,AE103)),$AQ$86,""),""),IF(ISNUMBER(SEARCH($AQ$87,AE103)),$AQ$87,""),""),IF(ISNUMBER(SEARCH($AQ$88,AE103)),$AQ$88,""),""),IF(ISNUMBER(SEARCH($AQ$89,AE103)),$AQ$89,""),""),IF(ISNUMBER(SEARCH($AQ$90,AE103)),$AQ$90,""),""),IF(ISNUMBER(SEARCH($AQ$91,AE103)),$AQ$91,""),""),IF(ISNUMBER(SEARCH($AQ$92,AE103)),$AQ$92,""),""),IF(ISNUMBER(SEARCH($AQ$93,AE103)),$AQ$93,""),""),IF(ISNUMBER(SEARCH($AQ$94,AE103)),$AQ$94,""),""),IF(ISNUMBER(SEARCH($AQ$95,AE103)),$AQ$95,""),""),IF(ISNUMBER(SEARCH($AQ$96,AE103)),$AQ$96,""),""),IF(ISNUMBER(SEARCH($AQ$97,AE103)),$AQ$97,""),""),IF(ISNUMBER(SEARCH($AQ$98,AE103)),$AQ$98,""),""),IF(ISNUMBER(SEARCH($AQ$99,AE103)),$AQ$99,""),""),IF(ISNUMBER(SEARCH($AQ$100,AE103)),$AQ$100,""),""),IF(ISNUMBER(SEARCH($AQ$101,AE103)),$AQ$101,""),""),IF(ISNUMBER(SEARCH($AQ$102,AE103)),$AQ$102,""),""),IF(ISNUMBER(SEARCH($AQ$103,AE103)),$AQ$103,""),""),IF(ISNUMBER(SEARCH($AQ$104,AE103)),$AQ$104,""),"")&amp;REPT($AR$12,32)</f>
        <v>C4&amp;&amp;B4E1C2A1D4F2A3B3B2D2E4D3D1F3E3A2C3C1E2B1F4F1A4????????????????????????????????????????????????????????????????</v>
      </c>
      <c r="AM103" s="1248" t="str">
        <f ca="1">IF(AG103="","",IF(LEN(AG103)&gt;=2,VLOOKUP(LEFT(AG103,2),Voorblad!$X$67:$Y$98,2)&amp;IF(LEN(AG103)&gt;=4," / "&amp;VLOOKUP(RIGHT(LEFT(AG103,4),2),Voorblad!$X$67:$Y$98,2),""),""))</f>
        <v>Frankrijk</v>
      </c>
      <c r="AN103" s="1248"/>
      <c r="AO103" s="718" t="str">
        <f ca="1">IF(AI103="","",IF(LEN(AI103)&gt;=2,VLOOKUP(LEFT(AI103,2),Voorblad!$X$67:$Y$98,2)&amp;IF(LEN(AI103)&gt;=4," / "&amp;VLOOKUP(RIGHT(LEFT(AI103,4),2),Voorblad!$X$67:$Y$98,2),""),""))</f>
        <v>Engeland</v>
      </c>
      <c r="AP103" s="266"/>
      <c r="AQ103" s="710" t="str">
        <f ca="1">Voorblad!AA97</f>
        <v>H3</v>
      </c>
      <c r="AR103" s="711"/>
      <c r="AS103" s="693" t="str">
        <f ca="1">IF(AT103=$AR$11,$AQ$11,IF(AT103=$AR$12,$AQ$12,VLOOKUP(AT103,Voorblad!$X$67:$Z$98,2,FALSE)))</f>
        <v/>
      </c>
      <c r="AT103" s="694" t="str">
        <f t="shared" ca="1" si="19"/>
        <v>??</v>
      </c>
      <c r="AU103" s="693" t="str">
        <f ca="1">IF(AV103=$AR$11,$AQ$11,IF(AV103=$AR$12,$AQ$12,VLOOKUP(AV103,Voorblad!$X$67:$Z$98,2,FALSE)))</f>
        <v/>
      </c>
      <c r="AV103" s="694" t="str">
        <f t="shared" ca="1" si="20"/>
        <v>??</v>
      </c>
      <c r="AW103" s="693" t="str">
        <f ca="1">IF(AX103=$AR$11,$AQ$11,IF(AX103=$AR$12,$AQ$12,VLOOKUP(AX103,Voorblad!$X$67:$Z$98,2,FALSE)))</f>
        <v/>
      </c>
      <c r="AX103" s="694" t="str">
        <f t="shared" ca="1" si="21"/>
        <v>??</v>
      </c>
      <c r="AY103" s="693" t="str">
        <f ca="1">IF(AZ103=$AR$11,$AQ$11,IF(AZ103=$AR$12,$AQ$12,VLOOKUP(AZ103,Voorblad!$X$67:$Z$98,2,FALSE)))</f>
        <v/>
      </c>
      <c r="AZ103" s="694" t="str">
        <f t="shared" ca="1" si="22"/>
        <v>??</v>
      </c>
      <c r="BA103" s="696">
        <f t="shared" si="27"/>
        <v>62</v>
      </c>
    </row>
    <row r="104" spans="28:53" x14ac:dyDescent="0.25">
      <c r="AB104" s="268"/>
      <c r="AC104" s="852"/>
      <c r="AD104" s="852"/>
      <c r="AE104" s="852"/>
      <c r="AF104" s="852"/>
      <c r="AG104" s="852"/>
      <c r="AH104" s="852"/>
      <c r="AI104" s="852"/>
      <c r="AJ104" s="852"/>
      <c r="AK104" s="852"/>
      <c r="AL104" s="852"/>
      <c r="AM104" s="268"/>
      <c r="AN104" s="268"/>
      <c r="AO104" s="268"/>
      <c r="AP104" s="266"/>
      <c r="AQ104" s="710" t="str">
        <f ca="1">Voorblad!AA98</f>
        <v>H4</v>
      </c>
      <c r="AR104" s="711"/>
      <c r="AS104" s="693" t="str">
        <f ca="1">IF(AT104=$AR$11,$AQ$11,IF(AT104=$AR$12,$AQ$12,VLOOKUP(AT104,Voorblad!$X$67:$Z$98,2,FALSE)))</f>
        <v/>
      </c>
      <c r="AT104" s="694" t="str">
        <f t="shared" ca="1" si="19"/>
        <v>??</v>
      </c>
      <c r="AU104" s="693" t="str">
        <f ca="1">IF(AV104=$AR$11,$AQ$11,IF(AV104=$AR$12,$AQ$12,VLOOKUP(AV104,Voorblad!$X$67:$Z$98,2,FALSE)))</f>
        <v/>
      </c>
      <c r="AV104" s="694" t="str">
        <f t="shared" ca="1" si="20"/>
        <v>??</v>
      </c>
      <c r="AW104" s="693" t="str">
        <f ca="1">IF(AX104=$AR$11,$AQ$11,IF(AX104=$AR$12,$AQ$12,VLOOKUP(AX104,Voorblad!$X$67:$Z$98,2,FALSE)))</f>
        <v/>
      </c>
      <c r="AX104" s="694" t="str">
        <f t="shared" ca="1" si="21"/>
        <v>??</v>
      </c>
      <c r="AY104" s="693" t="str">
        <f ca="1">IF(AZ104=$AR$11,$AQ$11,IF(AZ104=$AR$12,$AQ$12,VLOOKUP(AZ104,Voorblad!$X$67:$Z$98,2,FALSE)))</f>
        <v/>
      </c>
      <c r="AZ104" s="694" t="str">
        <f t="shared" ca="1" si="22"/>
        <v>??</v>
      </c>
      <c r="BA104" s="696">
        <f t="shared" si="27"/>
        <v>64</v>
      </c>
    </row>
    <row r="105" spans="28:53" x14ac:dyDescent="0.25">
      <c r="AB105" s="720" t="str">
        <f>$AB$85</f>
        <v>nr.</v>
      </c>
      <c r="AC105" s="1196" t="str">
        <f>$AC$85</f>
        <v>suggestie - thuis</v>
      </c>
      <c r="AD105" s="1196"/>
      <c r="AE105" s="1196" t="str">
        <f>$AE$85</f>
        <v>suggestie - uit</v>
      </c>
      <c r="AF105" s="1196"/>
      <c r="AG105" s="1196" t="str">
        <f>$AG$85</f>
        <v>thuis code</v>
      </c>
      <c r="AH105" s="1196"/>
      <c r="AI105" s="1196" t="str">
        <f>$AG$85</f>
        <v>thuis code</v>
      </c>
      <c r="AJ105" s="1196"/>
      <c r="AK105" s="764" t="str">
        <f>$AK$85</f>
        <v>thuis menu</v>
      </c>
      <c r="AL105" s="764" t="str">
        <f>$AL$85</f>
        <v>uit menu</v>
      </c>
      <c r="AM105" s="1197" t="str">
        <f>$AM$85</f>
        <v>thuis (landen)</v>
      </c>
      <c r="AN105" s="1197"/>
      <c r="AO105" s="721" t="str">
        <f>$AO$85</f>
        <v>uit (landen)</v>
      </c>
      <c r="AP105" s="266"/>
      <c r="AQ105" s="712"/>
      <c r="AR105" s="713"/>
      <c r="AS105" s="693" t="str">
        <f ca="1">IF(AT105=$AR$11,$AQ$11,IF(AT105=$AR$12,$AQ$12,VLOOKUP(AT105,Voorblad!$X$67:$Z$98,2,FALSE)))</f>
        <v/>
      </c>
      <c r="AT105" s="694" t="str">
        <f t="shared" ca="1" si="19"/>
        <v>??</v>
      </c>
      <c r="AU105" s="693" t="str">
        <f ca="1">IF(AV105=$AR$11,$AQ$11,IF(AV105=$AR$12,$AQ$12,VLOOKUP(AV105,Voorblad!$X$67:$Z$98,2,FALSE)))</f>
        <v/>
      </c>
      <c r="AV105" s="694" t="str">
        <f t="shared" ca="1" si="20"/>
        <v>??</v>
      </c>
      <c r="AW105" s="693" t="str">
        <f ca="1">IF(AX105=$AR$11,$AQ$11,IF(AX105=$AR$12,$AQ$12,VLOOKUP(AX105,Voorblad!$X$67:$Z$98,2,FALSE)))</f>
        <v/>
      </c>
      <c r="AX105" s="694" t="str">
        <f t="shared" ca="1" si="21"/>
        <v>??</v>
      </c>
      <c r="AY105" s="693" t="str">
        <f ca="1">IF(AZ105=$AR$11,$AQ$11,IF(AZ105=$AR$12,$AQ$12,VLOOKUP(AZ105,Voorblad!$X$67:$Z$98,2,FALSE)))</f>
        <v/>
      </c>
      <c r="AZ105" s="694" t="str">
        <f t="shared" ca="1" si="22"/>
        <v>??</v>
      </c>
      <c r="BA105" s="697">
        <f t="shared" si="27"/>
        <v>66</v>
      </c>
    </row>
    <row r="106" spans="28:53" ht="15.75" x14ac:dyDescent="0.25">
      <c r="AB106" s="717">
        <f>D52</f>
        <v>75</v>
      </c>
      <c r="AC106" s="1238" t="str">
        <f ca="1">AG48</f>
        <v>F3</v>
      </c>
      <c r="AD106" s="1238"/>
      <c r="AE106" s="1238" t="str">
        <f ca="1">AG50</f>
        <v>C4</v>
      </c>
      <c r="AF106" s="1238"/>
      <c r="AG10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106)),$AQ$73,""),""),IF(ISERROR(SEARCH($AQ$74,AC106)),$AQ$74,""),""),IF(ISERROR(SEARCH($AQ$75,AC106)),$AQ$75,""),""),IF(ISERROR(SEARCH($AQ$76,AC106)),$AQ$76,""),""),IF(ISERROR(SEARCH($AQ$77,AC106)),$AQ$77,""),""),IF(ISERROR(SEARCH($AQ$78,AC106)),$AQ$78,""),""),IF(ISERROR(SEARCH($AQ$79,AC106)),$AQ$79,""),""),IF(ISERROR(SEARCH($AQ$80,AC106)),$AQ$80,""),""),IF(ISERROR(SEARCH($AQ$81,AC106)),$AQ$81,""),""),IF(ISERROR(SEARCH($AQ$82,AC106)),$AQ$82,""),""),IF(ISERROR(SEARCH($AQ$83,AC106)),$AQ$83,""),""),IF(ISERROR(SEARCH($AQ$84,AC106)),$AQ$84,""),""),IF(ISERROR(SEARCH($AQ$85,AC106)),$AQ$85,""),""),IF(ISERROR(SEARCH($AQ$86,AC106)),$AQ$86,""),""),IF(ISERROR(SEARCH($AQ$87,AC106)),$AQ$87,""),""),IF(ISERROR(SEARCH($AQ$88,AC106)),$AQ$88,""),""),IF(ISERROR(SEARCH($AQ$89,AC106)),$AQ$89,""),""),IF(ISERROR(SEARCH($AQ$90,AC106)),$AQ$90,""),""),IF(ISERROR(SEARCH($AQ$91,AC106)),$AQ$91,""),""),IF(ISERROR(SEARCH($AQ$92,AC106)),$AQ$92,""),""),IF(ISERROR(SEARCH($AQ$93,AC106)),$AQ$93,""),""),IF(ISERROR(SEARCH($AQ$94,AC106)),$AQ$94,""),""),IF(ISERROR(SEARCH($AQ$95,AC106)),$AQ$95,""),""),IF(ISERROR(SEARCH($AQ$96,AC106)),$AQ$96,""),""),IF(ISERROR(SEARCH($AQ$97,AC106)),$AQ$97,""),""),IF(ISERROR(SEARCH($AQ$98,AC106)),$AQ$98,""),""),IF(ISERROR(SEARCH($AQ$99,AC106)),$AQ$99,""),""),IF(ISERROR(SEARCH($AQ$100,AC106)),$AQ$100,""),""),IF(ISERROR(SEARCH($AQ$101,AC106)),$AQ$101,""),""),IF(ISERROR(SEARCH($AQ$102,AC106)),$AQ$102,""),""),IF(ISERROR(SEARCH($AQ$103,AC106)),$AQ$103,""),""),IF(ISERROR(SEARCH($AQ$104,AC106)),$AQ$104,""),"")</f>
        <v>F3</v>
      </c>
      <c r="AH106" s="1238"/>
      <c r="AI10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106)),$AQ$73,""),""),IF(ISERROR(SEARCH($AQ$74,AE106)),$AQ$74,""),""),IF(ISERROR(SEARCH($AQ$75,AE106)),$AQ$75,""),""),IF(ISERROR(SEARCH($AQ$76,AE106)),$AQ$76,""),""),IF(ISERROR(SEARCH($AQ$77,AE106)),$AQ$77,""),""),IF(ISERROR(SEARCH($AQ$78,AE106)),$AQ$78,""),""),IF(ISERROR(SEARCH($AQ$79,AE106)),$AQ$79,""),""),IF(ISERROR(SEARCH($AQ$80,AE106)),$AQ$80,""),""),IF(ISERROR(SEARCH($AQ$81,AE106)),$AQ$81,""),""),IF(ISERROR(SEARCH($AQ$82,AE106)),$AQ$82,""),""),IF(ISERROR(SEARCH($AQ$83,AE106)),$AQ$83,""),""),IF(ISERROR(SEARCH($AQ$84,AE106)),$AQ$84,""),""),IF(ISERROR(SEARCH($AQ$85,AE106)),$AQ$85,""),""),IF(ISERROR(SEARCH($AQ$86,AE106)),$AQ$86,""),""),IF(ISERROR(SEARCH($AQ$87,AE106)),$AQ$87,""),""),IF(ISERROR(SEARCH($AQ$88,AE106)),$AQ$88,""),""),IF(ISERROR(SEARCH($AQ$89,AE106)),$AQ$89,""),""),IF(ISERROR(SEARCH($AQ$90,AE106)),$AQ$90,""),""),IF(ISERROR(SEARCH($AQ$91,AE106)),$AQ$91,""),""),IF(ISERROR(SEARCH($AQ$92,AE106)),$AQ$92,""),""),IF(ISERROR(SEARCH($AQ$93,AE106)),$AQ$93,""),""),IF(ISERROR(SEARCH($AQ$94,AE106)),$AQ$94,""),""),IF(ISERROR(SEARCH($AQ$95,AE106)),$AQ$95,""),""),IF(ISERROR(SEARCH($AQ$96,AE106)),$AQ$96,""),""),IF(ISERROR(SEARCH($AQ$97,AE106)),$AQ$97,""),""),IF(ISERROR(SEARCH($AQ$98,AE106)),$AQ$98,""),""),IF(ISERROR(SEARCH($AQ$99,AE106)),$AQ$99,""),""),IF(ISERROR(SEARCH($AQ$100,AE106)),$AQ$100,""),""),IF(ISERROR(SEARCH($AQ$101,AE106)),$AQ$101,""),""),IF(ISERROR(SEARCH($AQ$102,AE106)),$AQ$102,""),""),IF(ISERROR(SEARCH($AQ$103,AE106)),$AQ$103,""),""),IF(ISERROR(SEARCH($AQ$104,AE106)),$AQ$104,""),"")</f>
        <v>C4</v>
      </c>
      <c r="AJ106" s="1238"/>
      <c r="AK106" s="728" t="str">
        <f ca="1">AG106&amp;IF(AG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106)),$AQ$73,""),""),IF(ISNUMBER(SEARCH($AQ$74,AC106)),$AQ$74,""),""),IF(ISNUMBER(SEARCH($AQ$75,AC106)),$AQ$75,""),""),IF(ISNUMBER(SEARCH($AQ$76,AC106)),$AQ$76,""),""),IF(ISNUMBER(SEARCH($AQ$77,AC106)),$AQ$77,""),""),IF(ISNUMBER(SEARCH($AQ$78,AC106)),$AQ$78,""),""),IF(ISNUMBER(SEARCH($AQ$79,AC106)),$AQ$79,""),""),IF(ISNUMBER(SEARCH($AQ$80,AC106)),$AQ$80,""),""),IF(ISNUMBER(SEARCH($AQ$81,AC106)),$AQ$81,""),""),IF(ISNUMBER(SEARCH($AQ$82,AC106)),$AQ$82,""),""),IF(ISNUMBER(SEARCH($AQ$83,AC106)),$AQ$83,""),""),IF(ISNUMBER(SEARCH($AQ$84,AC106)),$AQ$84,""),""),IF(ISNUMBER(SEARCH($AQ$85,AC106)),$AQ$85,""),""),IF(ISNUMBER(SEARCH($AQ$86,AC106)),$AQ$86,""),""),IF(ISNUMBER(SEARCH($AQ$87,AC106)),$AQ$87,""),""),IF(ISNUMBER(SEARCH($AQ$88,AC106)),$AQ$88,""),""),IF(ISNUMBER(SEARCH($AQ$89,AC106)),$AQ$89,""),""),IF(ISNUMBER(SEARCH($AQ$90,AC106)),$AQ$90,""),""),IF(ISNUMBER(SEARCH($AQ$91,AC106)),$AQ$91,""),""),IF(ISNUMBER(SEARCH($AQ$92,AC106)),$AQ$92,""),""),IF(ISNUMBER(SEARCH($AQ$93,AC106)),$AQ$93,""),""),IF(ISNUMBER(SEARCH($AQ$94,AC106)),$AQ$94,""),""),IF(ISNUMBER(SEARCH($AQ$95,AC106)),$AQ$95,""),""),IF(ISNUMBER(SEARCH($AQ$96,AC106)),$AQ$96,""),""),IF(ISNUMBER(SEARCH($AQ$97,AC106)),$AQ$97,""),""),IF(ISNUMBER(SEARCH($AQ$98,AC106)),$AQ$98,""),""),IF(ISNUMBER(SEARCH($AQ$99,AC106)),$AQ$99,""),""),IF(ISNUMBER(SEARCH($AQ$100,AC106)),$AQ$100,""),""),IF(ISNUMBER(SEARCH($AQ$101,AC106)),$AQ$101,""),""),IF(ISNUMBER(SEARCH($AQ$102,AC106)),$AQ$102,""),""),IF(ISNUMBER(SEARCH($AQ$103,AC106)),$AQ$103,""),""),IF(ISNUMBER(SEARCH($AQ$104,AC106)),$AQ$104,""),"")&amp;REPT($AR$12,32)</f>
        <v>F3&amp;&amp;B4E1C2A1C4D4F2A3B3B2D2E4D3D1E3A2C3C1E2B1F4F1A4????????????????????????????????????????????????????????????????</v>
      </c>
      <c r="AL106" s="728" t="str">
        <f ca="1">AI106&amp;IF(AI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106)),$AQ$73,""),""),IF(ISNUMBER(SEARCH($AQ$74,AE106)),$AQ$74,""),""),IF(ISNUMBER(SEARCH($AQ$75,AE106)),$AQ$75,""),""),IF(ISNUMBER(SEARCH($AQ$76,AE106)),$AQ$76,""),""),IF(ISNUMBER(SEARCH($AQ$77,AE106)),$AQ$77,""),""),IF(ISNUMBER(SEARCH($AQ$78,AE106)),$AQ$78,""),""),IF(ISNUMBER(SEARCH($AQ$79,AE106)),$AQ$79,""),""),IF(ISNUMBER(SEARCH($AQ$80,AE106)),$AQ$80,""),""),IF(ISNUMBER(SEARCH($AQ$81,AE106)),$AQ$81,""),""),IF(ISNUMBER(SEARCH($AQ$82,AE106)),$AQ$82,""),""),IF(ISNUMBER(SEARCH($AQ$83,AE106)),$AQ$83,""),""),IF(ISNUMBER(SEARCH($AQ$84,AE106)),$AQ$84,""),""),IF(ISNUMBER(SEARCH($AQ$85,AE106)),$AQ$85,""),""),IF(ISNUMBER(SEARCH($AQ$86,AE106)),$AQ$86,""),""),IF(ISNUMBER(SEARCH($AQ$87,AE106)),$AQ$87,""),""),IF(ISNUMBER(SEARCH($AQ$88,AE106)),$AQ$88,""),""),IF(ISNUMBER(SEARCH($AQ$89,AE106)),$AQ$89,""),""),IF(ISNUMBER(SEARCH($AQ$90,AE106)),$AQ$90,""),""),IF(ISNUMBER(SEARCH($AQ$91,AE106)),$AQ$91,""),""),IF(ISNUMBER(SEARCH($AQ$92,AE106)),$AQ$92,""),""),IF(ISNUMBER(SEARCH($AQ$93,AE106)),$AQ$93,""),""),IF(ISNUMBER(SEARCH($AQ$94,AE106)),$AQ$94,""),""),IF(ISNUMBER(SEARCH($AQ$95,AE106)),$AQ$95,""),""),IF(ISNUMBER(SEARCH($AQ$96,AE106)),$AQ$96,""),""),IF(ISNUMBER(SEARCH($AQ$97,AE106)),$AQ$97,""),""),IF(ISNUMBER(SEARCH($AQ$98,AE106)),$AQ$98,""),""),IF(ISNUMBER(SEARCH($AQ$99,AE106)),$AQ$99,""),""),IF(ISNUMBER(SEARCH($AQ$100,AE106)),$AQ$100,""),""),IF(ISNUMBER(SEARCH($AQ$101,AE106)),$AQ$101,""),""),IF(ISNUMBER(SEARCH($AQ$102,AE106)),$AQ$102,""),""),IF(ISNUMBER(SEARCH($AQ$103,AE106)),$AQ$103,""),""),IF(ISNUMBER(SEARCH($AQ$104,AE106)),$AQ$104,""),"")&amp;REPT($AR$12,32)</f>
        <v>C4&amp;&amp;B4E1C2A1D4F2A3B3B2D2E4D3D1F3E3A2C3C1E2B1F4F1A4????????????????????????????????????????????????????????????????</v>
      </c>
      <c r="AM106" s="1247" t="str">
        <f ca="1">IF(AG106="","",IF(LEN(AG106)&gt;=2,VLOOKUP(LEFT(AG106,2),Voorblad!$X$67:$Y$98,2)&amp;IF(LEN(AG106)&gt;=4," / "&amp;VLOOKUP(RIGHT(LEFT(AG106,4),2),Voorblad!$X$67:$Y$98,2),""),""))</f>
        <v>Portugal</v>
      </c>
      <c r="AN106" s="1247"/>
      <c r="AO106" s="717" t="str">
        <f ca="1">IF(AI106="","",IF(LEN(AI106)&gt;=2,VLOOKUP(LEFT(AI106,2),Voorblad!$X$67:$Y$98,2)&amp;IF(LEN(AI106)&gt;=4," / "&amp;VLOOKUP(RIGHT(LEFT(AI106,4),2),Voorblad!$X$67:$Y$98,2),""),""))</f>
        <v>Engeland</v>
      </c>
      <c r="AP106" s="266"/>
      <c r="AQ106" s="722"/>
      <c r="AR106" s="723" t="s">
        <v>919</v>
      </c>
      <c r="AS106" s="698"/>
      <c r="AT106" s="699" t="s">
        <v>919</v>
      </c>
      <c r="AU106" s="698"/>
      <c r="AV106" s="699" t="s">
        <v>919</v>
      </c>
      <c r="AW106" s="702"/>
      <c r="AX106" s="703" t="s">
        <v>919</v>
      </c>
      <c r="AY106" s="702"/>
      <c r="AZ106" s="703" t="s">
        <v>919</v>
      </c>
      <c r="BA106" s="704"/>
    </row>
    <row r="107" spans="28:53" x14ac:dyDescent="0.25">
      <c r="AB107" s="268"/>
      <c r="AC107" s="852"/>
      <c r="AD107" s="852"/>
      <c r="AE107" s="852"/>
      <c r="AF107" s="852"/>
      <c r="AG107" s="852"/>
      <c r="AH107" s="852"/>
      <c r="AI107" s="852"/>
      <c r="AJ107" s="852"/>
      <c r="AK107" s="852"/>
      <c r="AL107" s="852"/>
      <c r="AM107" s="268"/>
      <c r="AN107" s="268"/>
      <c r="AO107" s="268"/>
      <c r="AP107" s="266"/>
      <c r="AQ107" s="724" t="str">
        <f ca="1">IF(AR107=$AR$11,$AQ$11,IF(AR107=$AR$12,$AQ$12,VLOOKUP(AR107,Voorblad!$X$67:$Z$98,2,FALSE)))</f>
        <v>Duitsland</v>
      </c>
      <c r="AR107" s="725" t="str">
        <f ca="1">RIGHT(LEFT($AK$112,$BA107),2)</f>
        <v>A1</v>
      </c>
      <c r="AS107" s="700" t="str">
        <f ca="1">IF(AT107=$AR$11,$AQ$11,IF(AT107=$AR$12,$AQ$12,VLOOKUP(AT107,Voorblad!$X$67:$Z$98,2,FALSE)))</f>
        <v>Portugal</v>
      </c>
      <c r="AT107" s="701" t="str">
        <f ca="1">RIGHT(LEFT($AK$106,$BA107),2)</f>
        <v>F3</v>
      </c>
      <c r="AU107" s="700" t="str">
        <f ca="1">IF(AV107=$AR$11,$AQ$11,IF(AV107=$AR$12,$AQ$12,VLOOKUP(AV107,Voorblad!$X$67:$Z$98,2,FALSE)))</f>
        <v>Engeland</v>
      </c>
      <c r="AV107" s="701" t="str">
        <f ca="1">RIGHT(LEFT($AL$106,$BA107),2)</f>
        <v>C4</v>
      </c>
      <c r="AW107" s="705" t="str">
        <f ca="1">IF(AX107=$AR$11,$AQ$11,IF(AX107=$AR$12,$AQ$12,VLOOKUP(AX107,Voorblad!$X$67:$Z$98,2,FALSE)))</f>
        <v>Duitsland</v>
      </c>
      <c r="AX107" s="706" t="str">
        <f ca="1">RIGHT(LEFT($AK$109,$BA107),2)</f>
        <v>A1</v>
      </c>
      <c r="AY107" s="705" t="str">
        <f ca="1">IF(AZ107=$AR$11,$AQ$11,IF(AZ107=$AR$12,$AQ$12,VLOOKUP(AZ107,Voorblad!$X$67:$Z$98,2,FALSE)))</f>
        <v>Frankrijk</v>
      </c>
      <c r="AZ107" s="706" t="str">
        <f ca="1">RIGHT(LEFT($AL$109,$BA107),2)</f>
        <v>D4</v>
      </c>
      <c r="BA107" s="707">
        <v>2</v>
      </c>
    </row>
    <row r="108" spans="28:53" x14ac:dyDescent="0.25">
      <c r="AB108" s="720" t="str">
        <f>$AB$85</f>
        <v>nr.</v>
      </c>
      <c r="AC108" s="1196" t="str">
        <f>$AC$85</f>
        <v>suggestie - thuis</v>
      </c>
      <c r="AD108" s="1196"/>
      <c r="AE108" s="1196" t="str">
        <f>$AE$85</f>
        <v>suggestie - uit</v>
      </c>
      <c r="AF108" s="1196"/>
      <c r="AG108" s="1196" t="str">
        <f>$AG$85</f>
        <v>thuis code</v>
      </c>
      <c r="AH108" s="1196"/>
      <c r="AI108" s="1196" t="str">
        <f>$AG$85</f>
        <v>thuis code</v>
      </c>
      <c r="AJ108" s="1196"/>
      <c r="AK108" s="764" t="str">
        <f>$AK$85</f>
        <v>thuis menu</v>
      </c>
      <c r="AL108" s="764" t="str">
        <f>$AL$85</f>
        <v>uit menu</v>
      </c>
      <c r="AM108" s="1197" t="str">
        <f>$AM$85</f>
        <v>thuis (landen)</v>
      </c>
      <c r="AN108" s="1197"/>
      <c r="AO108" s="721" t="str">
        <f>$AO$85</f>
        <v>uit (landen)</v>
      </c>
      <c r="AP108" s="266"/>
      <c r="AQ108" s="724" t="str">
        <f ca="1">IF(AR108=$AR$11,$AQ$11,IF(AR108=$AR$12,$AQ$12,VLOOKUP(AR108,Voorblad!$X$67:$Z$98,2,FALSE)))</f>
        <v>Frankrijk</v>
      </c>
      <c r="AR108" s="725" t="str">
        <f t="shared" ref="AR108:AR139" ca="1" si="31">RIGHT(LEFT($AK$112,$BA108),2)</f>
        <v>D4</v>
      </c>
      <c r="AS108" s="700" t="str">
        <f ca="1">IF(AT108=$AR$11,$AQ$11,IF(AT108=$AR$12,$AQ$12,VLOOKUP(AT108,Voorblad!$X$67:$Z$98,2,FALSE)))</f>
        <v>────────────────</v>
      </c>
      <c r="AT108" s="701" t="str">
        <f t="shared" ref="AT108:AT139" ca="1" si="32">RIGHT(LEFT($AK$106,$BA108),2)</f>
        <v>&amp;&amp;</v>
      </c>
      <c r="AU108" s="700" t="str">
        <f ca="1">IF(AV108=$AR$11,$AQ$11,IF(AV108=$AR$12,$AQ$12,VLOOKUP(AV108,Voorblad!$X$67:$Z$98,2,FALSE)))</f>
        <v>────────────────</v>
      </c>
      <c r="AV108" s="701" t="str">
        <f t="shared" ref="AV108:AV139" ca="1" si="33">RIGHT(LEFT($AL$106,$BA108),2)</f>
        <v>&amp;&amp;</v>
      </c>
      <c r="AW108" s="705" t="str">
        <f ca="1">IF(AX108=$AR$11,$AQ$11,IF(AX108=$AR$12,$AQ$12,VLOOKUP(AX108,Voorblad!$X$67:$Z$98,2,FALSE)))</f>
        <v>────────────────</v>
      </c>
      <c r="AX108" s="706" t="str">
        <f t="shared" ref="AX108:AX139" ca="1" si="34">RIGHT(LEFT($AK$109,$BA108),2)</f>
        <v>&amp;&amp;</v>
      </c>
      <c r="AY108" s="705" t="str">
        <f ca="1">IF(AZ108=$AR$11,$AQ$11,IF(AZ108=$AR$12,$AQ$12,VLOOKUP(AZ108,Voorblad!$X$67:$Z$98,2,FALSE)))</f>
        <v>────────────────</v>
      </c>
      <c r="AZ108" s="706" t="str">
        <f t="shared" ref="AZ108:AZ139" ca="1" si="35">RIGHT(LEFT($AL$109,$BA108),2)</f>
        <v>&amp;&amp;</v>
      </c>
      <c r="BA108" s="708">
        <f t="shared" ref="BA108:BA118" si="36">BA107+2</f>
        <v>4</v>
      </c>
    </row>
    <row r="109" spans="28:53" x14ac:dyDescent="0.25">
      <c r="AB109" s="717">
        <f>D56</f>
        <v>51</v>
      </c>
      <c r="AC109" s="1238" t="str">
        <f ca="1">AG47</f>
        <v>A1</v>
      </c>
      <c r="AD109" s="1238"/>
      <c r="AE109" s="1238" t="str">
        <f ca="1">AG49</f>
        <v>D4</v>
      </c>
      <c r="AF109" s="1238"/>
      <c r="AG109"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109)),$AQ$73,""),""),IF(ISERROR(SEARCH($AQ$74,AC109)),$AQ$74,""),""),IF(ISERROR(SEARCH($AQ$75,AC109)),$AQ$75,""),""),IF(ISERROR(SEARCH($AQ$76,AC109)),$AQ$76,""),""),IF(ISERROR(SEARCH($AQ$77,AC109)),$AQ$77,""),""),IF(ISERROR(SEARCH($AQ$78,AC109)),$AQ$78,""),""),IF(ISERROR(SEARCH($AQ$79,AC109)),$AQ$79,""),""),IF(ISERROR(SEARCH($AQ$80,AC109)),$AQ$80,""),""),IF(ISERROR(SEARCH($AQ$81,AC109)),$AQ$81,""),""),IF(ISERROR(SEARCH($AQ$82,AC109)),$AQ$82,""),""),IF(ISERROR(SEARCH($AQ$83,AC109)),$AQ$83,""),""),IF(ISERROR(SEARCH($AQ$84,AC109)),$AQ$84,""),""),IF(ISERROR(SEARCH($AQ$85,AC109)),$AQ$85,""),""),IF(ISERROR(SEARCH($AQ$86,AC109)),$AQ$86,""),""),IF(ISERROR(SEARCH($AQ$87,AC109)),$AQ$87,""),""),IF(ISERROR(SEARCH($AQ$88,AC109)),$AQ$88,""),""),IF(ISERROR(SEARCH($AQ$89,AC109)),$AQ$89,""),""),IF(ISERROR(SEARCH($AQ$90,AC109)),$AQ$90,""),""),IF(ISERROR(SEARCH($AQ$91,AC109)),$AQ$91,""),""),IF(ISERROR(SEARCH($AQ$92,AC109)),$AQ$92,""),""),IF(ISERROR(SEARCH($AQ$93,AC109)),$AQ$93,""),""),IF(ISERROR(SEARCH($AQ$94,AC109)),$AQ$94,""),""),IF(ISERROR(SEARCH($AQ$95,AC109)),$AQ$95,""),""),IF(ISERROR(SEARCH($AQ$96,AC109)),$AQ$96,""),""),IF(ISERROR(SEARCH($AQ$97,AC109)),$AQ$97,""),""),IF(ISERROR(SEARCH($AQ$98,AC109)),$AQ$98,""),""),IF(ISERROR(SEARCH($AQ$99,AC109)),$AQ$99,""),""),IF(ISERROR(SEARCH($AQ$100,AC109)),$AQ$100,""),""),IF(ISERROR(SEARCH($AQ$101,AC109)),$AQ$101,""),""),IF(ISERROR(SEARCH($AQ$102,AC109)),$AQ$102,""),""),IF(ISERROR(SEARCH($AQ$103,AC109)),$AQ$103,""),""),IF(ISERROR(SEARCH($AQ$104,AC109)),$AQ$104,""),"")</f>
        <v>A1</v>
      </c>
      <c r="AH109" s="1238"/>
      <c r="AI109"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109)),$AQ$73,""),""),IF(ISERROR(SEARCH($AQ$74,AE109)),$AQ$74,""),""),IF(ISERROR(SEARCH($AQ$75,AE109)),$AQ$75,""),""),IF(ISERROR(SEARCH($AQ$76,AE109)),$AQ$76,""),""),IF(ISERROR(SEARCH($AQ$77,AE109)),$AQ$77,""),""),IF(ISERROR(SEARCH($AQ$78,AE109)),$AQ$78,""),""),IF(ISERROR(SEARCH($AQ$79,AE109)),$AQ$79,""),""),IF(ISERROR(SEARCH($AQ$80,AE109)),$AQ$80,""),""),IF(ISERROR(SEARCH($AQ$81,AE109)),$AQ$81,""),""),IF(ISERROR(SEARCH($AQ$82,AE109)),$AQ$82,""),""),IF(ISERROR(SEARCH($AQ$83,AE109)),$AQ$83,""),""),IF(ISERROR(SEARCH($AQ$84,AE109)),$AQ$84,""),""),IF(ISERROR(SEARCH($AQ$85,AE109)),$AQ$85,""),""),IF(ISERROR(SEARCH($AQ$86,AE109)),$AQ$86,""),""),IF(ISERROR(SEARCH($AQ$87,AE109)),$AQ$87,""),""),IF(ISERROR(SEARCH($AQ$88,AE109)),$AQ$88,""),""),IF(ISERROR(SEARCH($AQ$89,AE109)),$AQ$89,""),""),IF(ISERROR(SEARCH($AQ$90,AE109)),$AQ$90,""),""),IF(ISERROR(SEARCH($AQ$91,AE109)),$AQ$91,""),""),IF(ISERROR(SEARCH($AQ$92,AE109)),$AQ$92,""),""),IF(ISERROR(SEARCH($AQ$93,AE109)),$AQ$93,""),""),IF(ISERROR(SEARCH($AQ$94,AE109)),$AQ$94,""),""),IF(ISERROR(SEARCH($AQ$95,AE109)),$AQ$95,""),""),IF(ISERROR(SEARCH($AQ$96,AE109)),$AQ$96,""),""),IF(ISERROR(SEARCH($AQ$97,AE109)),$AQ$97,""),""),IF(ISERROR(SEARCH($AQ$98,AE109)),$AQ$98,""),""),IF(ISERROR(SEARCH($AQ$99,AE109)),$AQ$99,""),""),IF(ISERROR(SEARCH($AQ$100,AE109)),$AQ$100,""),""),IF(ISERROR(SEARCH($AQ$101,AE109)),$AQ$101,""),""),IF(ISERROR(SEARCH($AQ$102,AE109)),$AQ$102,""),""),IF(ISERROR(SEARCH($AQ$103,AE109)),$AQ$103,""),""),IF(ISERROR(SEARCH($AQ$104,AE109)),$AQ$104,""),"")</f>
        <v>D4</v>
      </c>
      <c r="AJ109" s="1238"/>
      <c r="AK109" s="728" t="str">
        <f ca="1">AG109&amp;IF(AG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109)),$AQ$73,""),""),IF(ISNUMBER(SEARCH($AQ$74,AC109)),$AQ$74,""),""),IF(ISNUMBER(SEARCH($AQ$75,AC109)),$AQ$75,""),""),IF(ISNUMBER(SEARCH($AQ$76,AC109)),$AQ$76,""),""),IF(ISNUMBER(SEARCH($AQ$77,AC109)),$AQ$77,""),""),IF(ISNUMBER(SEARCH($AQ$78,AC109)),$AQ$78,""),""),IF(ISNUMBER(SEARCH($AQ$79,AC109)),$AQ$79,""),""),IF(ISNUMBER(SEARCH($AQ$80,AC109)),$AQ$80,""),""),IF(ISNUMBER(SEARCH($AQ$81,AC109)),$AQ$81,""),""),IF(ISNUMBER(SEARCH($AQ$82,AC109)),$AQ$82,""),""),IF(ISNUMBER(SEARCH($AQ$83,AC109)),$AQ$83,""),""),IF(ISNUMBER(SEARCH($AQ$84,AC109)),$AQ$84,""),""),IF(ISNUMBER(SEARCH($AQ$85,AC109)),$AQ$85,""),""),IF(ISNUMBER(SEARCH($AQ$86,AC109)),$AQ$86,""),""),IF(ISNUMBER(SEARCH($AQ$87,AC109)),$AQ$87,""),""),IF(ISNUMBER(SEARCH($AQ$88,AC109)),$AQ$88,""),""),IF(ISNUMBER(SEARCH($AQ$89,AC109)),$AQ$89,""),""),IF(ISNUMBER(SEARCH($AQ$90,AC109)),$AQ$90,""),""),IF(ISNUMBER(SEARCH($AQ$91,AC109)),$AQ$91,""),""),IF(ISNUMBER(SEARCH($AQ$92,AC109)),$AQ$92,""),""),IF(ISNUMBER(SEARCH($AQ$93,AC109)),$AQ$93,""),""),IF(ISNUMBER(SEARCH($AQ$94,AC109)),$AQ$94,""),""),IF(ISNUMBER(SEARCH($AQ$95,AC109)),$AQ$95,""),""),IF(ISNUMBER(SEARCH($AQ$96,AC109)),$AQ$96,""),""),IF(ISNUMBER(SEARCH($AQ$97,AC109)),$AQ$97,""),""),IF(ISNUMBER(SEARCH($AQ$98,AC109)),$AQ$98,""),""),IF(ISNUMBER(SEARCH($AQ$99,AC109)),$AQ$99,""),""),IF(ISNUMBER(SEARCH($AQ$100,AC109)),$AQ$100,""),""),IF(ISNUMBER(SEARCH($AQ$101,AC109)),$AQ$101,""),""),IF(ISNUMBER(SEARCH($AQ$102,AC109)),$AQ$102,""),""),IF(ISNUMBER(SEARCH($AQ$103,AC109)),$AQ$103,""),""),IF(ISNUMBER(SEARCH($AQ$104,AC109)),$AQ$104,""),"")&amp;REPT($AR$12,32)</f>
        <v>A1&amp;&amp;B4E1C2C4D4F2A3B3B2D2E4D3D1F3E3A2C3C1E2B1F4F1A4????????????????????????????????????????????????????????????????</v>
      </c>
      <c r="AL109" s="728" t="str">
        <f ca="1">AI109&amp;IF(AI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109)),$AQ$73,""),""),IF(ISNUMBER(SEARCH($AQ$74,AE109)),$AQ$74,""),""),IF(ISNUMBER(SEARCH($AQ$75,AE109)),$AQ$75,""),""),IF(ISNUMBER(SEARCH($AQ$76,AE109)),$AQ$76,""),""),IF(ISNUMBER(SEARCH($AQ$77,AE109)),$AQ$77,""),""),IF(ISNUMBER(SEARCH($AQ$78,AE109)),$AQ$78,""),""),IF(ISNUMBER(SEARCH($AQ$79,AE109)),$AQ$79,""),""),IF(ISNUMBER(SEARCH($AQ$80,AE109)),$AQ$80,""),""),IF(ISNUMBER(SEARCH($AQ$81,AE109)),$AQ$81,""),""),IF(ISNUMBER(SEARCH($AQ$82,AE109)),$AQ$82,""),""),IF(ISNUMBER(SEARCH($AQ$83,AE109)),$AQ$83,""),""),IF(ISNUMBER(SEARCH($AQ$84,AE109)),$AQ$84,""),""),IF(ISNUMBER(SEARCH($AQ$85,AE109)),$AQ$85,""),""),IF(ISNUMBER(SEARCH($AQ$86,AE109)),$AQ$86,""),""),IF(ISNUMBER(SEARCH($AQ$87,AE109)),$AQ$87,""),""),IF(ISNUMBER(SEARCH($AQ$88,AE109)),$AQ$88,""),""),IF(ISNUMBER(SEARCH($AQ$89,AE109)),$AQ$89,""),""),IF(ISNUMBER(SEARCH($AQ$90,AE109)),$AQ$90,""),""),IF(ISNUMBER(SEARCH($AQ$91,AE109)),$AQ$91,""),""),IF(ISNUMBER(SEARCH($AQ$92,AE109)),$AQ$92,""),""),IF(ISNUMBER(SEARCH($AQ$93,AE109)),$AQ$93,""),""),IF(ISNUMBER(SEARCH($AQ$94,AE109)),$AQ$94,""),""),IF(ISNUMBER(SEARCH($AQ$95,AE109)),$AQ$95,""),""),IF(ISNUMBER(SEARCH($AQ$96,AE109)),$AQ$96,""),""),IF(ISNUMBER(SEARCH($AQ$97,AE109)),$AQ$97,""),""),IF(ISNUMBER(SEARCH($AQ$98,AE109)),$AQ$98,""),""),IF(ISNUMBER(SEARCH($AQ$99,AE109)),$AQ$99,""),""),IF(ISNUMBER(SEARCH($AQ$100,AE109)),$AQ$100,""),""),IF(ISNUMBER(SEARCH($AQ$101,AE109)),$AQ$101,""),""),IF(ISNUMBER(SEARCH($AQ$102,AE109)),$AQ$102,""),""),IF(ISNUMBER(SEARCH($AQ$103,AE109)),$AQ$103,""),""),IF(ISNUMBER(SEARCH($AQ$104,AE109)),$AQ$104,""),"")&amp;REPT($AR$12,32)</f>
        <v>D4&amp;&amp;B4E1C2A1C4F2A3B3B2D2E4D3D1F3E3A2C3C1E2B1F4F1A4????????????????????????????????????????????????????????????????</v>
      </c>
      <c r="AM109" s="1247" t="str">
        <f ca="1">IF(AG109="","",IF(LEN(AG109)&gt;=2,VLOOKUP(LEFT(AG109,2),Voorblad!$X$67:$Y$98,2)&amp;IF(LEN(AG109)&gt;=4," / "&amp;VLOOKUP(RIGHT(LEFT(AG109,4),2),Voorblad!$X$67:$Y$98,2),""),""))</f>
        <v>Duitsland</v>
      </c>
      <c r="AN109" s="1247"/>
      <c r="AO109" s="717" t="str">
        <f ca="1">IF(AI109="","",IF(LEN(AI109)&gt;=2,VLOOKUP(LEFT(AI109,2),Voorblad!$X$67:$Y$98,2)&amp;IF(LEN(AI109)&gt;=4," / "&amp;VLOOKUP(RIGHT(LEFT(AI109,4),2),Voorblad!$X$67:$Y$98,2),""),""))</f>
        <v>Frankrijk</v>
      </c>
      <c r="AP109" s="266"/>
      <c r="AQ109" s="724" t="str">
        <f ca="1">IF(AR109=$AR$11,$AQ$11,IF(AR109=$AR$12,$AQ$12,VLOOKUP(AR109,Voorblad!$X$67:$Z$98,2,FALSE)))</f>
        <v>────────────────</v>
      </c>
      <c r="AR109" s="725" t="str">
        <f t="shared" ca="1" si="31"/>
        <v>&amp;&amp;</v>
      </c>
      <c r="AS109" s="700" t="str">
        <f ca="1">IF(AT109=$AR$11,$AQ$11,IF(AT109=$AR$12,$AQ$12,VLOOKUP(AT109,Voorblad!$X$67:$Z$98,2,FALSE)))</f>
        <v>Albanië</v>
      </c>
      <c r="AT109" s="701" t="str">
        <f t="shared" ca="1" si="32"/>
        <v>B4</v>
      </c>
      <c r="AU109" s="700" t="str">
        <f ca="1">IF(AV109=$AR$11,$AQ$11,IF(AV109=$AR$12,$AQ$12,VLOOKUP(AV109,Voorblad!$X$67:$Z$98,2,FALSE)))</f>
        <v>Albanië</v>
      </c>
      <c r="AV109" s="701" t="str">
        <f t="shared" ca="1" si="33"/>
        <v>B4</v>
      </c>
      <c r="AW109" s="705" t="str">
        <f ca="1">IF(AX109=$AR$11,$AQ$11,IF(AX109=$AR$12,$AQ$12,VLOOKUP(AX109,Voorblad!$X$67:$Z$98,2,FALSE)))</f>
        <v>Albanië</v>
      </c>
      <c r="AX109" s="706" t="str">
        <f t="shared" ca="1" si="34"/>
        <v>B4</v>
      </c>
      <c r="AY109" s="705" t="str">
        <f ca="1">IF(AZ109=$AR$11,$AQ$11,IF(AZ109=$AR$12,$AQ$12,VLOOKUP(AZ109,Voorblad!$X$67:$Z$98,2,FALSE)))</f>
        <v>Albanië</v>
      </c>
      <c r="AZ109" s="706" t="str">
        <f t="shared" ca="1" si="35"/>
        <v>B4</v>
      </c>
      <c r="BA109" s="708">
        <f t="shared" si="36"/>
        <v>6</v>
      </c>
    </row>
    <row r="110" spans="28:53" x14ac:dyDescent="0.25">
      <c r="AB110" s="266"/>
      <c r="AC110" s="488"/>
      <c r="AD110" s="488"/>
      <c r="AE110" s="488"/>
      <c r="AF110" s="488"/>
      <c r="AG110" s="488"/>
      <c r="AH110" s="488"/>
      <c r="AI110" s="488"/>
      <c r="AJ110" s="488"/>
      <c r="AK110" s="488"/>
      <c r="AL110" s="488"/>
      <c r="AM110" s="266"/>
      <c r="AN110" s="266"/>
      <c r="AO110" s="266"/>
      <c r="AP110" s="266"/>
      <c r="AQ110" s="724" t="str">
        <f ca="1">IF(AR110=$AR$11,$AQ$11,IF(AR110=$AR$12,$AQ$12,VLOOKUP(AR110,Voorblad!$X$67:$Z$98,2,FALSE)))</f>
        <v>Albanië</v>
      </c>
      <c r="AR110" s="725" t="str">
        <f t="shared" ca="1" si="31"/>
        <v>B4</v>
      </c>
      <c r="AS110" s="700" t="str">
        <f ca="1">IF(AT110=$AR$11,$AQ$11,IF(AT110=$AR$12,$AQ$12,VLOOKUP(AT110,Voorblad!$X$67:$Z$98,2,FALSE)))</f>
        <v>België</v>
      </c>
      <c r="AT110" s="701" t="str">
        <f t="shared" ca="1" si="32"/>
        <v>E1</v>
      </c>
      <c r="AU110" s="700" t="str">
        <f ca="1">IF(AV110=$AR$11,$AQ$11,IF(AV110=$AR$12,$AQ$12,VLOOKUP(AV110,Voorblad!$X$67:$Z$98,2,FALSE)))</f>
        <v>België</v>
      </c>
      <c r="AV110" s="701" t="str">
        <f t="shared" ca="1" si="33"/>
        <v>E1</v>
      </c>
      <c r="AW110" s="705" t="str">
        <f ca="1">IF(AX110=$AR$11,$AQ$11,IF(AX110=$AR$12,$AQ$12,VLOOKUP(AX110,Voorblad!$X$67:$Z$98,2,FALSE)))</f>
        <v>België</v>
      </c>
      <c r="AX110" s="706" t="str">
        <f t="shared" ca="1" si="34"/>
        <v>E1</v>
      </c>
      <c r="AY110" s="705" t="str">
        <f ca="1">IF(AZ110=$AR$11,$AQ$11,IF(AZ110=$AR$12,$AQ$12,VLOOKUP(AZ110,Voorblad!$X$67:$Z$98,2,FALSE)))</f>
        <v>België</v>
      </c>
      <c r="AZ110" s="706" t="str">
        <f t="shared" ca="1" si="35"/>
        <v>E1</v>
      </c>
      <c r="BA110" s="708">
        <f t="shared" si="36"/>
        <v>8</v>
      </c>
    </row>
    <row r="111" spans="28:53" x14ac:dyDescent="0.25">
      <c r="AB111" s="720" t="str">
        <f>$AB$85</f>
        <v>nr.</v>
      </c>
      <c r="AC111" s="1196" t="s">
        <v>928</v>
      </c>
      <c r="AD111" s="1196"/>
      <c r="AE111" s="1196"/>
      <c r="AF111" s="1196"/>
      <c r="AG111" s="1196" t="s">
        <v>930</v>
      </c>
      <c r="AH111" s="1196"/>
      <c r="AI111" s="1196"/>
      <c r="AJ111" s="1196"/>
      <c r="AK111" s="1196" t="s">
        <v>931</v>
      </c>
      <c r="AL111" s="1196"/>
      <c r="AM111" s="1197" t="s">
        <v>932</v>
      </c>
      <c r="AN111" s="1197"/>
      <c r="AO111" s="1197"/>
      <c r="AP111" s="266"/>
      <c r="AQ111" s="724" t="str">
        <f ca="1">IF(AR111=$AR$11,$AQ$11,IF(AR111=$AR$12,$AQ$12,VLOOKUP(AR111,Voorblad!$X$67:$Z$98,2,FALSE)))</f>
        <v>België</v>
      </c>
      <c r="AR111" s="725" t="str">
        <f t="shared" ca="1" si="31"/>
        <v>E1</v>
      </c>
      <c r="AS111" s="700" t="str">
        <f ca="1">IF(AT111=$AR$11,$AQ$11,IF(AT111=$AR$12,$AQ$12,VLOOKUP(AT111,Voorblad!$X$67:$Z$98,2,FALSE)))</f>
        <v>Denemarken</v>
      </c>
      <c r="AT111" s="701" t="str">
        <f t="shared" ca="1" si="32"/>
        <v>C2</v>
      </c>
      <c r="AU111" s="700" t="str">
        <f ca="1">IF(AV111=$AR$11,$AQ$11,IF(AV111=$AR$12,$AQ$12,VLOOKUP(AV111,Voorblad!$X$67:$Z$98,2,FALSE)))</f>
        <v>Denemarken</v>
      </c>
      <c r="AV111" s="701" t="str">
        <f t="shared" ca="1" si="33"/>
        <v>C2</v>
      </c>
      <c r="AW111" s="705" t="str">
        <f ca="1">IF(AX111=$AR$11,$AQ$11,IF(AX111=$AR$12,$AQ$12,VLOOKUP(AX111,Voorblad!$X$67:$Z$98,2,FALSE)))</f>
        <v>Denemarken</v>
      </c>
      <c r="AX111" s="706" t="str">
        <f t="shared" ca="1" si="34"/>
        <v>C2</v>
      </c>
      <c r="AY111" s="705" t="str">
        <f ca="1">IF(AZ111=$AR$11,$AQ$11,IF(AZ111=$AR$12,$AQ$12,VLOOKUP(AZ111,Voorblad!$X$67:$Z$98,2,FALSE)))</f>
        <v>Denemarken</v>
      </c>
      <c r="AZ111" s="706" t="str">
        <f t="shared" ca="1" si="35"/>
        <v>C2</v>
      </c>
      <c r="BA111" s="708">
        <f t="shared" si="36"/>
        <v>10</v>
      </c>
    </row>
    <row r="112" spans="28:53" x14ac:dyDescent="0.25">
      <c r="AB112" s="717" t="s">
        <v>929</v>
      </c>
      <c r="AC112" s="1238" t="str">
        <f ca="1">AG57</f>
        <v>A1D4</v>
      </c>
      <c r="AD112" s="1238"/>
      <c r="AE112" s="1238"/>
      <c r="AF112" s="1238"/>
      <c r="AG11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112)),$AQ$73,""),""),IF(ISERROR(SEARCH($AQ$74,AC112)),$AQ$74,""),""),IF(ISERROR(SEARCH($AQ$75,AC112)),$AQ$75,""),""),IF(ISERROR(SEARCH($AQ$76,AC112)),$AQ$76,""),""),IF(ISERROR(SEARCH($AQ$77,AC112)),$AQ$77,""),""),IF(ISERROR(SEARCH($AQ$78,AC112)),$AQ$78,""),""),IF(ISERROR(SEARCH($AQ$79,AC112)),$AQ$79,""),""),IF(ISERROR(SEARCH($AQ$80,AC112)),$AQ$80,""),""),IF(ISERROR(SEARCH($AQ$81,AC112)),$AQ$81,""),""),IF(ISERROR(SEARCH($AQ$82,AC112)),$AQ$82,""),""),IF(ISERROR(SEARCH($AQ$83,AC112)),$AQ$83,""),""),IF(ISERROR(SEARCH($AQ$84,AC112)),$AQ$84,""),""),IF(ISERROR(SEARCH($AQ$85,AC112)),$AQ$85,""),""),IF(ISERROR(SEARCH($AQ$86,AC112)),$AQ$86,""),""),IF(ISERROR(SEARCH($AQ$87,AC112)),$AQ$87,""),""),IF(ISERROR(SEARCH($AQ$88,AC112)),$AQ$88,""),""),IF(ISERROR(SEARCH($AQ$89,AC112)),$AQ$89,""),""),IF(ISERROR(SEARCH($AQ$90,AC112)),$AQ$90,""),""),IF(ISERROR(SEARCH($AQ$91,AC112)),$AQ$91,""),""),IF(ISERROR(SEARCH($AQ$92,AC112)),$AQ$92,""),""),IF(ISERROR(SEARCH($AQ$93,AC112)),$AQ$93,""),""),IF(ISERROR(SEARCH($AQ$94,AC112)),$AQ$94,""),""),IF(ISERROR(SEARCH($AQ$95,AC112)),$AQ$95,""),""),IF(ISERROR(SEARCH($AQ$96,AC112)),$AQ$96,""),""),IF(ISERROR(SEARCH($AQ$97,AC112)),$AQ$97,""),""),IF(ISERROR(SEARCH($AQ$98,AC112)),$AQ$98,""),""),IF(ISERROR(SEARCH($AQ$99,AC112)),$AQ$99,""),""),IF(ISERROR(SEARCH($AQ$100,AC112)),$AQ$100,""),""),IF(ISERROR(SEARCH($AQ$101,AC112)),$AQ$101,""),""),IF(ISERROR(SEARCH($AQ$102,AC112)),$AQ$102,""),""),IF(ISERROR(SEARCH($AQ$103,AC112)),$AQ$103,""),""),IF(ISERROR(SEARCH($AQ$104,AC112)),$AQ$104,""),"")</f>
        <v>A1D4</v>
      </c>
      <c r="AH112" s="1238"/>
      <c r="AI112" s="1238"/>
      <c r="AJ112" s="1238"/>
      <c r="AK112" s="1238" t="str">
        <f ca="1">AG112&amp;IF(AG112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112)),$AQ$73,""),""),IF(ISNUMBER(SEARCH($AQ$74,AC112)),$AQ$74,""),""),IF(ISNUMBER(SEARCH($AQ$75,AC112)),$AQ$75,""),""),IF(ISNUMBER(SEARCH($AQ$76,AC112)),$AQ$76,""),""),IF(ISNUMBER(SEARCH($AQ$77,AC112)),$AQ$77,""),""),IF(ISNUMBER(SEARCH($AQ$78,AC112)),$AQ$78,""),""),IF(ISNUMBER(SEARCH($AQ$79,AC112)),$AQ$79,""),""),IF(ISNUMBER(SEARCH($AQ$80,AC112)),$AQ$80,""),""),IF(ISNUMBER(SEARCH($AQ$81,AC112)),$AQ$81,""),""),IF(ISNUMBER(SEARCH($AQ$82,AC112)),$AQ$82,""),""),IF(ISNUMBER(SEARCH($AQ$83,AC112)),$AQ$83,""),""),IF(ISNUMBER(SEARCH($AQ$84,AC112)),$AQ$84,""),""),IF(ISNUMBER(SEARCH($AQ$85,AC112)),$AQ$85,""),""),IF(ISNUMBER(SEARCH($AQ$86,AC112)),$AQ$86,""),""),IF(ISNUMBER(SEARCH($AQ$87,AC112)),$AQ$87,""),""),IF(ISNUMBER(SEARCH($AQ$88,AC112)),$AQ$88,""),""),IF(ISNUMBER(SEARCH($AQ$89,AC112)),$AQ$89,""),""),IF(ISNUMBER(SEARCH($AQ$90,AC112)),$AQ$90,""),""),IF(ISNUMBER(SEARCH($AQ$91,AC112)),$AQ$91,""),""),IF(ISNUMBER(SEARCH($AQ$92,AC112)),$AQ$92,""),""),IF(ISNUMBER(SEARCH($AQ$93,AC112)),$AQ$93,""),""),IF(ISNUMBER(SEARCH($AQ$94,AC112)),$AQ$94,""),""),IF(ISNUMBER(SEARCH($AQ$95,AC112)),$AQ$95,""),""),IF(ISNUMBER(SEARCH($AQ$96,AC112)),$AQ$96,""),""),IF(ISNUMBER(SEARCH($AQ$97,AC112)),$AQ$97,""),""),IF(ISNUMBER(SEARCH($AQ$98,AC112)),$AQ$98,""),""),IF(ISNUMBER(SEARCH($AQ$99,AC112)),$AQ$99,""),""),IF(ISNUMBER(SEARCH($AQ$100,AC112)),$AQ$100,""),""),IF(ISNUMBER(SEARCH($AQ$101,AC112)),$AQ$101,""),""),IF(ISNUMBER(SEARCH($AQ$102,AC112)),$AQ$102,""),""),IF(ISNUMBER(SEARCH($AQ$103,AC112)),$AQ$103,""),""),IF(ISNUMBER(SEARCH($AQ$104,AC112)),$AQ$104,""),"")&amp;REPT($AR$12,32)</f>
        <v>A1D4&amp;&amp;B4E1C2C4F2A3B3B2D2E4D3D1F3E3A2C3C1E2B1F4F1A4????????????????????????????????????????????????????????????????</v>
      </c>
      <c r="AL112" s="1238"/>
      <c r="AM112" s="1247" t="str">
        <f ca="1">IF(AG112="","",IF(LEN(AG112)&gt;=2,VLOOKUP(LEFT(AG112,2),Voorblad!$X$67:$Y$98,2)&amp;IF(LEN(AG112)&gt;=4," / "&amp;VLOOKUP(RIGHT(LEFT(AG112,4),2),Voorblad!$X$67:$Y$98,2),""),""))</f>
        <v>Duitsland / Frankrijk</v>
      </c>
      <c r="AN112" s="1247"/>
      <c r="AO112" s="1247"/>
      <c r="AP112" s="266"/>
      <c r="AQ112" s="724" t="str">
        <f ca="1">IF(AR112=$AR$11,$AQ$11,IF(AR112=$AR$12,$AQ$12,VLOOKUP(AR112,Voorblad!$X$67:$Z$98,2,FALSE)))</f>
        <v>Denemarken</v>
      </c>
      <c r="AR112" s="725" t="str">
        <f t="shared" ca="1" si="31"/>
        <v>C2</v>
      </c>
      <c r="AS112" s="700" t="str">
        <f ca="1">IF(AT112=$AR$11,$AQ$11,IF(AT112=$AR$12,$AQ$12,VLOOKUP(AT112,Voorblad!$X$67:$Z$98,2,FALSE)))</f>
        <v>Duitsland</v>
      </c>
      <c r="AT112" s="701" t="str">
        <f t="shared" ca="1" si="32"/>
        <v>A1</v>
      </c>
      <c r="AU112" s="700" t="str">
        <f ca="1">IF(AV112=$AR$11,$AQ$11,IF(AV112=$AR$12,$AQ$12,VLOOKUP(AV112,Voorblad!$X$67:$Z$98,2,FALSE)))</f>
        <v>Duitsland</v>
      </c>
      <c r="AV112" s="701" t="str">
        <f t="shared" ca="1" si="33"/>
        <v>A1</v>
      </c>
      <c r="AW112" s="705" t="str">
        <f ca="1">IF(AX112=$AR$11,$AQ$11,IF(AX112=$AR$12,$AQ$12,VLOOKUP(AX112,Voorblad!$X$67:$Z$98,2,FALSE)))</f>
        <v>Engeland</v>
      </c>
      <c r="AX112" s="706" t="str">
        <f t="shared" ca="1" si="34"/>
        <v>C4</v>
      </c>
      <c r="AY112" s="705" t="str">
        <f ca="1">IF(AZ112=$AR$11,$AQ$11,IF(AZ112=$AR$12,$AQ$12,VLOOKUP(AZ112,Voorblad!$X$67:$Z$98,2,FALSE)))</f>
        <v>Duitsland</v>
      </c>
      <c r="AZ112" s="706" t="str">
        <f t="shared" ca="1" si="35"/>
        <v>A1</v>
      </c>
      <c r="BA112" s="708">
        <f t="shared" si="36"/>
        <v>12</v>
      </c>
    </row>
    <row r="113" spans="28:53" x14ac:dyDescent="0.25">
      <c r="AB113" s="266"/>
      <c r="AC113" s="266"/>
      <c r="AD113" s="266"/>
      <c r="AE113" s="266"/>
      <c r="AF113" s="266"/>
      <c r="AG113" s="266"/>
      <c r="AH113" s="266"/>
      <c r="AI113" s="266"/>
      <c r="AJ113" s="266"/>
      <c r="AK113" s="266"/>
      <c r="AL113" s="266"/>
      <c r="AM113" s="266"/>
      <c r="AN113" s="266"/>
      <c r="AO113" s="266"/>
      <c r="AP113" s="266"/>
      <c r="AQ113" s="724" t="str">
        <f ca="1">IF(AR113=$AR$11,$AQ$11,IF(AR113=$AR$12,$AQ$12,VLOOKUP(AR113,Voorblad!$X$67:$Z$98,2,FALSE)))</f>
        <v>Engeland</v>
      </c>
      <c r="AR113" s="725" t="str">
        <f t="shared" ca="1" si="31"/>
        <v>C4</v>
      </c>
      <c r="AS113" s="700" t="str">
        <f ca="1">IF(AT113=$AR$11,$AQ$11,IF(AT113=$AR$12,$AQ$12,VLOOKUP(AT113,Voorblad!$X$67:$Z$98,2,FALSE)))</f>
        <v>Engeland</v>
      </c>
      <c r="AT113" s="701" t="str">
        <f t="shared" ca="1" si="32"/>
        <v>C4</v>
      </c>
      <c r="AU113" s="700" t="str">
        <f ca="1">IF(AV113=$AR$11,$AQ$11,IF(AV113=$AR$12,$AQ$12,VLOOKUP(AV113,Voorblad!$X$67:$Z$98,2,FALSE)))</f>
        <v>Frankrijk</v>
      </c>
      <c r="AV113" s="701" t="str">
        <f t="shared" ca="1" si="33"/>
        <v>D4</v>
      </c>
      <c r="AW113" s="705" t="str">
        <f ca="1">IF(AX113=$AR$11,$AQ$11,IF(AX113=$AR$12,$AQ$12,VLOOKUP(AX113,Voorblad!$X$67:$Z$98,2,FALSE)))</f>
        <v>Frankrijk</v>
      </c>
      <c r="AX113" s="706" t="str">
        <f t="shared" ca="1" si="34"/>
        <v>D4</v>
      </c>
      <c r="AY113" s="705" t="str">
        <f ca="1">IF(AZ113=$AR$11,$AQ$11,IF(AZ113=$AR$12,$AQ$12,VLOOKUP(AZ113,Voorblad!$X$67:$Z$98,2,FALSE)))</f>
        <v>Engeland</v>
      </c>
      <c r="AZ113" s="706" t="str">
        <f t="shared" ca="1" si="35"/>
        <v>C4</v>
      </c>
      <c r="BA113" s="708">
        <f t="shared" si="36"/>
        <v>14</v>
      </c>
    </row>
    <row r="114" spans="28:53" x14ac:dyDescent="0.25">
      <c r="AB114" s="755"/>
      <c r="AC114" s="755"/>
      <c r="AD114" s="755"/>
      <c r="AE114" s="755"/>
      <c r="AF114" s="755"/>
      <c r="AG114" s="755"/>
      <c r="AH114" s="755"/>
      <c r="AI114" s="755"/>
      <c r="AJ114" s="755"/>
      <c r="AK114" s="755"/>
      <c r="AL114" s="755"/>
      <c r="AM114" s="755"/>
      <c r="AN114" s="755"/>
      <c r="AO114" s="755"/>
      <c r="AP114" s="755"/>
      <c r="AQ114" s="724" t="str">
        <f ca="1">IF(AR114=$AR$11,$AQ$11,IF(AR114=$AR$12,$AQ$12,VLOOKUP(AR114,Voorblad!$X$67:$Z$98,2,FALSE)))</f>
        <v>Georgië</v>
      </c>
      <c r="AR114" s="725" t="str">
        <f t="shared" ca="1" si="31"/>
        <v>F2</v>
      </c>
      <c r="AS114" s="700" t="str">
        <f ca="1">IF(AT114=$AR$11,$AQ$11,IF(AT114=$AR$12,$AQ$12,VLOOKUP(AT114,Voorblad!$X$67:$Z$98,2,FALSE)))</f>
        <v>Frankrijk</v>
      </c>
      <c r="AT114" s="701" t="str">
        <f t="shared" ca="1" si="32"/>
        <v>D4</v>
      </c>
      <c r="AU114" s="700" t="str">
        <f ca="1">IF(AV114=$AR$11,$AQ$11,IF(AV114=$AR$12,$AQ$12,VLOOKUP(AV114,Voorblad!$X$67:$Z$98,2,FALSE)))</f>
        <v>Georgië</v>
      </c>
      <c r="AV114" s="701" t="str">
        <f t="shared" ca="1" si="33"/>
        <v>F2</v>
      </c>
      <c r="AW114" s="705" t="str">
        <f ca="1">IF(AX114=$AR$11,$AQ$11,IF(AX114=$AR$12,$AQ$12,VLOOKUP(AX114,Voorblad!$X$67:$Z$98,2,FALSE)))</f>
        <v>Georgië</v>
      </c>
      <c r="AX114" s="706" t="str">
        <f t="shared" ca="1" si="34"/>
        <v>F2</v>
      </c>
      <c r="AY114" s="705" t="str">
        <f ca="1">IF(AZ114=$AR$11,$AQ$11,IF(AZ114=$AR$12,$AQ$12,VLOOKUP(AZ114,Voorblad!$X$67:$Z$98,2,FALSE)))</f>
        <v>Georgië</v>
      </c>
      <c r="AZ114" s="706" t="str">
        <f t="shared" ca="1" si="35"/>
        <v>F2</v>
      </c>
      <c r="BA114" s="708">
        <f t="shared" si="36"/>
        <v>16</v>
      </c>
    </row>
    <row r="115" spans="28:53" x14ac:dyDescent="0.25">
      <c r="AB115" s="1246" t="s">
        <v>435</v>
      </c>
      <c r="AC115" s="1246"/>
      <c r="AD115" s="1246"/>
      <c r="AE115" s="1246"/>
      <c r="AF115" s="1246"/>
      <c r="AG115" s="1246"/>
      <c r="AH115" s="1246"/>
      <c r="AI115" s="1246"/>
      <c r="AJ115" s="1246"/>
      <c r="AK115" s="1246"/>
      <c r="AL115" s="1246"/>
      <c r="AM115" s="1246"/>
      <c r="AN115" s="1246"/>
      <c r="AO115" s="1246"/>
      <c r="AP115" s="1246"/>
      <c r="AQ115" s="724" t="str">
        <f ca="1">IF(AR115=$AR$11,$AQ$11,IF(AR115=$AR$12,$AQ$12,VLOOKUP(AR115,Voorblad!$X$67:$Z$98,2,FALSE)))</f>
        <v>Hongarije</v>
      </c>
      <c r="AR115" s="725" t="str">
        <f t="shared" ca="1" si="31"/>
        <v>A3</v>
      </c>
      <c r="AS115" s="700" t="str">
        <f ca="1">IF(AT115=$AR$11,$AQ$11,IF(AT115=$AR$12,$AQ$12,VLOOKUP(AT115,Voorblad!$X$67:$Z$98,2,FALSE)))</f>
        <v>Georgië</v>
      </c>
      <c r="AT115" s="701" t="str">
        <f t="shared" ca="1" si="32"/>
        <v>F2</v>
      </c>
      <c r="AU115" s="700" t="str">
        <f ca="1">IF(AV115=$AR$11,$AQ$11,IF(AV115=$AR$12,$AQ$12,VLOOKUP(AV115,Voorblad!$X$67:$Z$98,2,FALSE)))</f>
        <v>Hongarije</v>
      </c>
      <c r="AV115" s="701" t="str">
        <f t="shared" ca="1" si="33"/>
        <v>A3</v>
      </c>
      <c r="AW115" s="705" t="str">
        <f ca="1">IF(AX115=$AR$11,$AQ$11,IF(AX115=$AR$12,$AQ$12,VLOOKUP(AX115,Voorblad!$X$67:$Z$98,2,FALSE)))</f>
        <v>Hongarije</v>
      </c>
      <c r="AX115" s="706" t="str">
        <f t="shared" ca="1" si="34"/>
        <v>A3</v>
      </c>
      <c r="AY115" s="705" t="str">
        <f ca="1">IF(AZ115=$AR$11,$AQ$11,IF(AZ115=$AR$12,$AQ$12,VLOOKUP(AZ115,Voorblad!$X$67:$Z$98,2,FALSE)))</f>
        <v>Hongarije</v>
      </c>
      <c r="AZ115" s="706" t="str">
        <f t="shared" ca="1" si="35"/>
        <v>A3</v>
      </c>
      <c r="BA115" s="708">
        <f t="shared" si="36"/>
        <v>18</v>
      </c>
    </row>
    <row r="116" spans="28:53" x14ac:dyDescent="0.25">
      <c r="AB116" s="1246"/>
      <c r="AC116" s="1246"/>
      <c r="AD116" s="1246"/>
      <c r="AE116" s="1246"/>
      <c r="AF116" s="1246"/>
      <c r="AG116" s="1246"/>
      <c r="AH116" s="1246"/>
      <c r="AI116" s="1246"/>
      <c r="AJ116" s="1246"/>
      <c r="AK116" s="1246"/>
      <c r="AL116" s="1246"/>
      <c r="AM116" s="1246"/>
      <c r="AN116" s="1246"/>
      <c r="AO116" s="1246"/>
      <c r="AP116" s="1246"/>
      <c r="AQ116" s="724" t="str">
        <f ca="1">IF(AR116=$AR$11,$AQ$11,IF(AR116=$AR$12,$AQ$12,VLOOKUP(AR116,Voorblad!$X$67:$Z$98,2,FALSE)))</f>
        <v>Italië</v>
      </c>
      <c r="AR116" s="725" t="str">
        <f t="shared" ca="1" si="31"/>
        <v>B3</v>
      </c>
      <c r="AS116" s="700" t="str">
        <f ca="1">IF(AT116=$AR$11,$AQ$11,IF(AT116=$AR$12,$AQ$12,VLOOKUP(AT116,Voorblad!$X$67:$Z$98,2,FALSE)))</f>
        <v>Hongarije</v>
      </c>
      <c r="AT116" s="701" t="str">
        <f t="shared" ca="1" si="32"/>
        <v>A3</v>
      </c>
      <c r="AU116" s="700" t="str">
        <f ca="1">IF(AV116=$AR$11,$AQ$11,IF(AV116=$AR$12,$AQ$12,VLOOKUP(AV116,Voorblad!$X$67:$Z$98,2,FALSE)))</f>
        <v>Italië</v>
      </c>
      <c r="AV116" s="701" t="str">
        <f t="shared" ca="1" si="33"/>
        <v>B3</v>
      </c>
      <c r="AW116" s="705" t="str">
        <f ca="1">IF(AX116=$AR$11,$AQ$11,IF(AX116=$AR$12,$AQ$12,VLOOKUP(AX116,Voorblad!$X$67:$Z$98,2,FALSE)))</f>
        <v>Italië</v>
      </c>
      <c r="AX116" s="706" t="str">
        <f t="shared" ca="1" si="34"/>
        <v>B3</v>
      </c>
      <c r="AY116" s="705" t="str">
        <f ca="1">IF(AZ116=$AR$11,$AQ$11,IF(AZ116=$AR$12,$AQ$12,VLOOKUP(AZ116,Voorblad!$X$67:$Z$98,2,FALSE)))</f>
        <v>Italië</v>
      </c>
      <c r="AZ116" s="706" t="str">
        <f t="shared" ca="1" si="35"/>
        <v>B3</v>
      </c>
      <c r="BA116" s="708">
        <f t="shared" si="36"/>
        <v>20</v>
      </c>
    </row>
    <row r="117" spans="28:53" x14ac:dyDescent="0.25">
      <c r="AB117" s="491" t="s">
        <v>67</v>
      </c>
      <c r="AC117" s="492" t="str">
        <f>Taal04!$C$129</f>
        <v>Net zoals tijdens EURO 2020 weten België, Duitsland, Engeland, Frankrijk, Italië, Nederland, Portugal en Spanje allen de achtste finales te bereiken.</v>
      </c>
      <c r="AD117" s="493"/>
      <c r="AE117" s="493"/>
      <c r="AF117" s="493"/>
      <c r="AG117" s="493"/>
      <c r="AH117" s="493"/>
      <c r="AI117" s="493"/>
      <c r="AJ117" s="493"/>
      <c r="AK117" s="493"/>
      <c r="AL117" s="493"/>
      <c r="AM117" s="493"/>
      <c r="AN117" s="493"/>
      <c r="AO117" s="493"/>
      <c r="AP117" s="493"/>
      <c r="AQ117" s="724" t="str">
        <f ca="1">IF(AR117=$AR$11,$AQ$11,IF(AR117=$AR$12,$AQ$12,VLOOKUP(AR117,Voorblad!$X$67:$Z$98,2,FALSE)))</f>
        <v>Kroatië</v>
      </c>
      <c r="AR117" s="725" t="str">
        <f t="shared" ca="1" si="31"/>
        <v>B2</v>
      </c>
      <c r="AS117" s="700" t="str">
        <f ca="1">IF(AT117=$AR$11,$AQ$11,IF(AT117=$AR$12,$AQ$12,VLOOKUP(AT117,Voorblad!$X$67:$Z$98,2,FALSE)))</f>
        <v>Italië</v>
      </c>
      <c r="AT117" s="701" t="str">
        <f t="shared" ca="1" si="32"/>
        <v>B3</v>
      </c>
      <c r="AU117" s="700" t="str">
        <f ca="1">IF(AV117=$AR$11,$AQ$11,IF(AV117=$AR$12,$AQ$12,VLOOKUP(AV117,Voorblad!$X$67:$Z$98,2,FALSE)))</f>
        <v>Kroatië</v>
      </c>
      <c r="AV117" s="701" t="str">
        <f t="shared" ca="1" si="33"/>
        <v>B2</v>
      </c>
      <c r="AW117" s="705" t="str">
        <f ca="1">IF(AX117=$AR$11,$AQ$11,IF(AX117=$AR$12,$AQ$12,VLOOKUP(AX117,Voorblad!$X$67:$Z$98,2,FALSE)))</f>
        <v>Kroatië</v>
      </c>
      <c r="AX117" s="706" t="str">
        <f t="shared" ca="1" si="34"/>
        <v>B2</v>
      </c>
      <c r="AY117" s="705" t="str">
        <f ca="1">IF(AZ117=$AR$11,$AQ$11,IF(AZ117=$AR$12,$AQ$12,VLOOKUP(AZ117,Voorblad!$X$67:$Z$98,2,FALSE)))</f>
        <v>Kroatië</v>
      </c>
      <c r="AZ117" s="706" t="str">
        <f t="shared" ca="1" si="35"/>
        <v>B2</v>
      </c>
      <c r="BA117" s="708">
        <f t="shared" si="36"/>
        <v>22</v>
      </c>
    </row>
    <row r="118" spans="28:53" x14ac:dyDescent="0.25">
      <c r="AB118" s="419"/>
      <c r="AC118" s="494" t="s">
        <v>1053</v>
      </c>
      <c r="AD118" s="494"/>
      <c r="AE118" s="494"/>
      <c r="AF118" s="748" t="s">
        <v>381</v>
      </c>
      <c r="AG118" s="494" t="str">
        <f ca="1">"|"&amp;IF(AK14="GOED",AD14,AK14)&amp;"|"&amp;IF(AL14="GOED",AF14,AL14)&amp;"|"&amp;IF(AK16="GOED",AD16,AK16)&amp;"|"&amp;IF(AL16="GOED",AF16,AL16)&amp;"|"&amp;IF(AK18="GOED",AD18,AK18)&amp;"|"&amp;IF(AL18="GOED",AF18,AL18)&amp;"|"&amp;IF(AK20="GOED",AD20,AK20)&amp;"|"&amp;IF(AL20="GOED",AF20,AL20)&amp;"|"&amp;IF(AK22="GOED",AD22,AK22)&amp;"|"&amp;IF(AL22="GOED",AF22,AL22)&amp;"|"&amp;IF(AK24="GOED",AD24,AK24)&amp;"|"&amp;IF(AL24="GOED",AF24,AL24)&amp;"|"&amp;IF(AK26="GOED",AD26,AK26)&amp;"|"&amp;IF(AL26="GOED",AF26,AL26)&amp;"|"&amp;IF(AK28="GOED",AD28,AK28)&amp;"|"&amp;IF(AL28="GOED",AF28,AL28)&amp;"|"</f>
        <v>|CH|HR|DE|DK|GB|SK|ES|AT|NL|UA|PT|IT|BE|RS|FR|TR|</v>
      </c>
      <c r="AH118" s="419"/>
      <c r="AI118" s="419"/>
      <c r="AJ118" s="419"/>
      <c r="AK118" s="419"/>
      <c r="AL118" s="419"/>
      <c r="AM118" s="419"/>
      <c r="AN118" s="419"/>
      <c r="AO118" s="419"/>
      <c r="AP118" s="419"/>
      <c r="AQ118" s="724" t="str">
        <f ca="1">IF(AR118=$AR$11,$AQ$11,IF(AR118=$AR$12,$AQ$12,VLOOKUP(AR118,Voorblad!$X$67:$Z$98,2,FALSE)))</f>
        <v>Nederland</v>
      </c>
      <c r="AR118" s="725" t="str">
        <f t="shared" ca="1" si="31"/>
        <v>D2</v>
      </c>
      <c r="AS118" s="700" t="str">
        <f ca="1">IF(AT118=$AR$11,$AQ$11,IF(AT118=$AR$12,$AQ$12,VLOOKUP(AT118,Voorblad!$X$67:$Z$98,2,FALSE)))</f>
        <v>Kroatië</v>
      </c>
      <c r="AT118" s="701" t="str">
        <f t="shared" ca="1" si="32"/>
        <v>B2</v>
      </c>
      <c r="AU118" s="700" t="str">
        <f ca="1">IF(AV118=$AR$11,$AQ$11,IF(AV118=$AR$12,$AQ$12,VLOOKUP(AV118,Voorblad!$X$67:$Z$98,2,FALSE)))</f>
        <v>Nederland</v>
      </c>
      <c r="AV118" s="701" t="str">
        <f t="shared" ca="1" si="33"/>
        <v>D2</v>
      </c>
      <c r="AW118" s="705" t="str">
        <f ca="1">IF(AX118=$AR$11,$AQ$11,IF(AX118=$AR$12,$AQ$12,VLOOKUP(AX118,Voorblad!$X$67:$Z$98,2,FALSE)))</f>
        <v>Nederland</v>
      </c>
      <c r="AX118" s="706" t="str">
        <f t="shared" ca="1" si="34"/>
        <v>D2</v>
      </c>
      <c r="AY118" s="705" t="str">
        <f ca="1">IF(AZ118=$AR$11,$AQ$11,IF(AZ118=$AR$12,$AQ$12,VLOOKUP(AZ118,Voorblad!$X$67:$Z$98,2,FALSE)))</f>
        <v>Nederland</v>
      </c>
      <c r="AZ118" s="706" t="str">
        <f t="shared" ca="1" si="35"/>
        <v>D2</v>
      </c>
      <c r="BA118" s="708">
        <f t="shared" si="36"/>
        <v>24</v>
      </c>
    </row>
    <row r="119" spans="28:53" x14ac:dyDescent="0.25">
      <c r="AB119" s="419"/>
      <c r="AC119" s="494" t="s">
        <v>1054</v>
      </c>
      <c r="AD119" s="494"/>
      <c r="AE119" s="494"/>
      <c r="AF119" s="748" t="s">
        <v>381</v>
      </c>
      <c r="AG119" s="419" t="str">
        <f ca="1">IF(SUBSTITUTE(SUBSTITUTE($AG$118,"LEEG","##"),"ONGELDIG","$$")=$AG$118,"JA","NEE")</f>
        <v>JA</v>
      </c>
      <c r="AH119" s="419"/>
      <c r="AI119" s="419"/>
      <c r="AJ119" s="419"/>
      <c r="AK119" s="419"/>
      <c r="AL119" s="419"/>
      <c r="AM119" s="419"/>
      <c r="AN119" s="419"/>
      <c r="AO119" s="419"/>
      <c r="AP119" s="419"/>
      <c r="AQ119" s="724" t="str">
        <f ca="1">IF(AR119=$AR$11,$AQ$11,IF(AR119=$AR$12,$AQ$12,VLOOKUP(AR119,Voorblad!$X$67:$Z$98,2,FALSE)))</f>
        <v>Oekraïne</v>
      </c>
      <c r="AR119" s="725" t="str">
        <f t="shared" ca="1" si="31"/>
        <v>E4</v>
      </c>
      <c r="AS119" s="700" t="str">
        <f ca="1">IF(AT119=$AR$11,$AQ$11,IF(AT119=$AR$12,$AQ$12,VLOOKUP(AT119,Voorblad!$X$67:$Z$98,2,FALSE)))</f>
        <v>Nederland</v>
      </c>
      <c r="AT119" s="701" t="str">
        <f t="shared" ca="1" si="32"/>
        <v>D2</v>
      </c>
      <c r="AU119" s="700" t="str">
        <f ca="1">IF(AV119=$AR$11,$AQ$11,IF(AV119=$AR$12,$AQ$12,VLOOKUP(AV119,Voorblad!$X$67:$Z$98,2,FALSE)))</f>
        <v>Oekraïne</v>
      </c>
      <c r="AV119" s="701" t="str">
        <f t="shared" ca="1" si="33"/>
        <v>E4</v>
      </c>
      <c r="AW119" s="705" t="str">
        <f ca="1">IF(AX119=$AR$11,$AQ$11,IF(AX119=$AR$12,$AQ$12,VLOOKUP(AX119,Voorblad!$X$67:$Z$98,2,FALSE)))</f>
        <v>Oekraïne</v>
      </c>
      <c r="AX119" s="706" t="str">
        <f t="shared" ca="1" si="34"/>
        <v>E4</v>
      </c>
      <c r="AY119" s="705" t="str">
        <f ca="1">IF(AZ119=$AR$11,$AQ$11,IF(AZ119=$AR$12,$AQ$12,VLOOKUP(AZ119,Voorblad!$X$67:$Z$98,2,FALSE)))</f>
        <v>Oekraïne</v>
      </c>
      <c r="AZ119" s="706" t="str">
        <f t="shared" ca="1" si="35"/>
        <v>E4</v>
      </c>
      <c r="BA119" s="708">
        <f t="shared" ref="BA119:BA139" si="37">BA118+2</f>
        <v>26</v>
      </c>
    </row>
    <row r="120" spans="28:53" x14ac:dyDescent="0.25">
      <c r="AB120" s="419"/>
      <c r="AC120" s="494" t="s">
        <v>1886</v>
      </c>
      <c r="AD120" s="419" t="s">
        <v>69</v>
      </c>
      <c r="AE120" s="419" t="str">
        <f>Voorblad!$Z$83</f>
        <v>BE</v>
      </c>
      <c r="AF120" s="748" t="s">
        <v>381</v>
      </c>
      <c r="AG120" s="419" t="str">
        <f t="shared" ref="AG120:AG127" ca="1" si="38">IF(SUBSTITUTE($AG$118,AE120,"##")=$AG$118,"NEE","JA")</f>
        <v>JA</v>
      </c>
      <c r="AH120" s="419"/>
      <c r="AI120" s="419"/>
      <c r="AJ120" s="419"/>
      <c r="AK120" s="419"/>
      <c r="AL120" s="419"/>
      <c r="AM120" s="419"/>
      <c r="AN120" s="419"/>
      <c r="AO120" s="498" t="s">
        <v>1894</v>
      </c>
      <c r="AP120" s="499" t="str">
        <f ca="1">AG119</f>
        <v>JA</v>
      </c>
      <c r="AQ120" s="724" t="str">
        <f ca="1">IF(AR120=$AR$11,$AQ$11,IF(AR120=$AR$12,$AQ$12,VLOOKUP(AR120,Voorblad!$X$67:$Z$98,2,FALSE)))</f>
        <v>Oostenrijk</v>
      </c>
      <c r="AR120" s="725" t="str">
        <f t="shared" ca="1" si="31"/>
        <v>D3</v>
      </c>
      <c r="AS120" s="700" t="str">
        <f ca="1">IF(AT120=$AR$11,$AQ$11,IF(AT120=$AR$12,$AQ$12,VLOOKUP(AT120,Voorblad!$X$67:$Z$98,2,FALSE)))</f>
        <v>Oekraïne</v>
      </c>
      <c r="AT120" s="701" t="str">
        <f t="shared" ca="1" si="32"/>
        <v>E4</v>
      </c>
      <c r="AU120" s="700" t="str">
        <f ca="1">IF(AV120=$AR$11,$AQ$11,IF(AV120=$AR$12,$AQ$12,VLOOKUP(AV120,Voorblad!$X$67:$Z$98,2,FALSE)))</f>
        <v>Oostenrijk</v>
      </c>
      <c r="AV120" s="701" t="str">
        <f t="shared" ca="1" si="33"/>
        <v>D3</v>
      </c>
      <c r="AW120" s="705" t="str">
        <f ca="1">IF(AX120=$AR$11,$AQ$11,IF(AX120=$AR$12,$AQ$12,VLOOKUP(AX120,Voorblad!$X$67:$Z$98,2,FALSE)))</f>
        <v>Oostenrijk</v>
      </c>
      <c r="AX120" s="706" t="str">
        <f t="shared" ca="1" si="34"/>
        <v>D3</v>
      </c>
      <c r="AY120" s="705" t="str">
        <f ca="1">IF(AZ120=$AR$11,$AQ$11,IF(AZ120=$AR$12,$AQ$12,VLOOKUP(AZ120,Voorblad!$X$67:$Z$98,2,FALSE)))</f>
        <v>Oostenrijk</v>
      </c>
      <c r="AZ120" s="706" t="str">
        <f t="shared" ca="1" si="35"/>
        <v>D3</v>
      </c>
      <c r="BA120" s="708">
        <f t="shared" si="37"/>
        <v>28</v>
      </c>
    </row>
    <row r="121" spans="28:53" x14ac:dyDescent="0.25">
      <c r="AB121" s="419"/>
      <c r="AC121" s="494" t="s">
        <v>1887</v>
      </c>
      <c r="AD121" s="419" t="s">
        <v>69</v>
      </c>
      <c r="AE121" s="419" t="str">
        <f>Voorblad!$Z$67</f>
        <v>DE</v>
      </c>
      <c r="AF121" s="748" t="s">
        <v>381</v>
      </c>
      <c r="AG121" s="419" t="str">
        <f t="shared" ca="1" si="38"/>
        <v>JA</v>
      </c>
      <c r="AH121" s="419"/>
      <c r="AI121" s="419"/>
      <c r="AJ121" s="419"/>
      <c r="AK121" s="419"/>
      <c r="AL121" s="419"/>
      <c r="AM121" s="419"/>
      <c r="AN121" s="419"/>
      <c r="AO121" s="498" t="s">
        <v>461</v>
      </c>
      <c r="AP121" s="499">
        <f ca="1">COUNTIF(AG120:AG127,"JA")</f>
        <v>8</v>
      </c>
      <c r="AQ121" s="724" t="str">
        <f ca="1">IF(AR121=$AR$11,$AQ$11,IF(AR121=$AR$12,$AQ$12,VLOOKUP(AR121,Voorblad!$X$67:$Z$98,2,FALSE)))</f>
        <v>Polen</v>
      </c>
      <c r="AR121" s="725" t="str">
        <f t="shared" ca="1" si="31"/>
        <v>D1</v>
      </c>
      <c r="AS121" s="700" t="str">
        <f ca="1">IF(AT121=$AR$11,$AQ$11,IF(AT121=$AR$12,$AQ$12,VLOOKUP(AT121,Voorblad!$X$67:$Z$98,2,FALSE)))</f>
        <v>Oostenrijk</v>
      </c>
      <c r="AT121" s="701" t="str">
        <f t="shared" ca="1" si="32"/>
        <v>D3</v>
      </c>
      <c r="AU121" s="700" t="str">
        <f ca="1">IF(AV121=$AR$11,$AQ$11,IF(AV121=$AR$12,$AQ$12,VLOOKUP(AV121,Voorblad!$X$67:$Z$98,2,FALSE)))</f>
        <v>Polen</v>
      </c>
      <c r="AV121" s="701" t="str">
        <f t="shared" ca="1" si="33"/>
        <v>D1</v>
      </c>
      <c r="AW121" s="705" t="str">
        <f ca="1">IF(AX121=$AR$11,$AQ$11,IF(AX121=$AR$12,$AQ$12,VLOOKUP(AX121,Voorblad!$X$67:$Z$98,2,FALSE)))</f>
        <v>Polen</v>
      </c>
      <c r="AX121" s="706" t="str">
        <f t="shared" ca="1" si="34"/>
        <v>D1</v>
      </c>
      <c r="AY121" s="705" t="str">
        <f ca="1">IF(AZ121=$AR$11,$AQ$11,IF(AZ121=$AR$12,$AQ$12,VLOOKUP(AZ121,Voorblad!$X$67:$Z$98,2,FALSE)))</f>
        <v>Polen</v>
      </c>
      <c r="AZ121" s="706" t="str">
        <f t="shared" ca="1" si="35"/>
        <v>D1</v>
      </c>
      <c r="BA121" s="708">
        <f t="shared" si="37"/>
        <v>30</v>
      </c>
    </row>
    <row r="122" spans="28:53" x14ac:dyDescent="0.25">
      <c r="AB122" s="419"/>
      <c r="AC122" s="494" t="s">
        <v>1888</v>
      </c>
      <c r="AD122" s="419" t="s">
        <v>69</v>
      </c>
      <c r="AE122" s="419" t="str">
        <f>Voorblad!$Z$78</f>
        <v>GB</v>
      </c>
      <c r="AF122" s="748" t="s">
        <v>381</v>
      </c>
      <c r="AG122" s="419" t="str">
        <f t="shared" ca="1" si="38"/>
        <v>JA</v>
      </c>
      <c r="AH122" s="419"/>
      <c r="AI122" s="419"/>
      <c r="AJ122" s="419"/>
      <c r="AK122" s="419"/>
      <c r="AL122" s="419"/>
      <c r="AM122" s="419"/>
      <c r="AN122" s="419"/>
      <c r="AO122" s="498" t="s">
        <v>1055</v>
      </c>
      <c r="AP122" s="499">
        <v>8</v>
      </c>
      <c r="AQ122" s="724" t="str">
        <f ca="1">IF(AR122=$AR$11,$AQ$11,IF(AR122=$AR$12,$AQ$12,VLOOKUP(AR122,Voorblad!$X$67:$Z$98,2,FALSE)))</f>
        <v>Portugal</v>
      </c>
      <c r="AR122" s="725" t="str">
        <f t="shared" ca="1" si="31"/>
        <v>F3</v>
      </c>
      <c r="AS122" s="700" t="str">
        <f ca="1">IF(AT122=$AR$11,$AQ$11,IF(AT122=$AR$12,$AQ$12,VLOOKUP(AT122,Voorblad!$X$67:$Z$98,2,FALSE)))</f>
        <v>Polen</v>
      </c>
      <c r="AT122" s="701" t="str">
        <f t="shared" ca="1" si="32"/>
        <v>D1</v>
      </c>
      <c r="AU122" s="700" t="str">
        <f ca="1">IF(AV122=$AR$11,$AQ$11,IF(AV122=$AR$12,$AQ$12,VLOOKUP(AV122,Voorblad!$X$67:$Z$98,2,FALSE)))</f>
        <v>Portugal</v>
      </c>
      <c r="AV122" s="701" t="str">
        <f t="shared" ca="1" si="33"/>
        <v>F3</v>
      </c>
      <c r="AW122" s="705" t="str">
        <f ca="1">IF(AX122=$AR$11,$AQ$11,IF(AX122=$AR$12,$AQ$12,VLOOKUP(AX122,Voorblad!$X$67:$Z$98,2,FALSE)))</f>
        <v>Portugal</v>
      </c>
      <c r="AX122" s="706" t="str">
        <f t="shared" ca="1" si="34"/>
        <v>F3</v>
      </c>
      <c r="AY122" s="705" t="str">
        <f ca="1">IF(AZ122=$AR$11,$AQ$11,IF(AZ122=$AR$12,$AQ$12,VLOOKUP(AZ122,Voorblad!$X$67:$Z$98,2,FALSE)))</f>
        <v>Portugal</v>
      </c>
      <c r="AZ122" s="706" t="str">
        <f t="shared" ca="1" si="35"/>
        <v>F3</v>
      </c>
      <c r="BA122" s="708">
        <f t="shared" si="37"/>
        <v>32</v>
      </c>
    </row>
    <row r="123" spans="28:53" x14ac:dyDescent="0.25">
      <c r="AB123" s="419"/>
      <c r="AC123" s="494" t="s">
        <v>1889</v>
      </c>
      <c r="AD123" s="419" t="s">
        <v>69</v>
      </c>
      <c r="AE123" s="419" t="str">
        <f>Voorblad!$Z$82</f>
        <v>FR</v>
      </c>
      <c r="AF123" s="748" t="s">
        <v>381</v>
      </c>
      <c r="AG123" s="419" t="str">
        <f t="shared" ca="1" si="38"/>
        <v>JA</v>
      </c>
      <c r="AH123" s="419"/>
      <c r="AI123" s="419"/>
      <c r="AJ123" s="419"/>
      <c r="AK123" s="419"/>
      <c r="AL123" s="419"/>
      <c r="AM123" s="419"/>
      <c r="AN123" s="419"/>
      <c r="AO123" s="498" t="s">
        <v>462</v>
      </c>
      <c r="AP123" s="499">
        <f ca="1">COUNTIF(AG120:AG127,"NEE")</f>
        <v>0</v>
      </c>
      <c r="AQ123" s="724" t="str">
        <f ca="1">IF(AR123=$AR$11,$AQ$11,IF(AR123=$AR$12,$AQ$12,VLOOKUP(AR123,Voorblad!$X$67:$Z$98,2,FALSE)))</f>
        <v>Roemenië</v>
      </c>
      <c r="AR123" s="725" t="str">
        <f t="shared" ca="1" si="31"/>
        <v>E3</v>
      </c>
      <c r="AS123" s="700" t="str">
        <f ca="1">IF(AT123=$AR$11,$AQ$11,IF(AT123=$AR$12,$AQ$12,VLOOKUP(AT123,Voorblad!$X$67:$Z$98,2,FALSE)))</f>
        <v>Roemenië</v>
      </c>
      <c r="AT123" s="701" t="str">
        <f t="shared" ca="1" si="32"/>
        <v>E3</v>
      </c>
      <c r="AU123" s="700" t="str">
        <f ca="1">IF(AV123=$AR$11,$AQ$11,IF(AV123=$AR$12,$AQ$12,VLOOKUP(AV123,Voorblad!$X$67:$Z$98,2,FALSE)))</f>
        <v>Roemenië</v>
      </c>
      <c r="AV123" s="701" t="str">
        <f t="shared" ca="1" si="33"/>
        <v>E3</v>
      </c>
      <c r="AW123" s="705" t="str">
        <f ca="1">IF(AX123=$AR$11,$AQ$11,IF(AX123=$AR$12,$AQ$12,VLOOKUP(AX123,Voorblad!$X$67:$Z$98,2,FALSE)))</f>
        <v>Roemenië</v>
      </c>
      <c r="AX123" s="706" t="str">
        <f t="shared" ca="1" si="34"/>
        <v>E3</v>
      </c>
      <c r="AY123" s="705" t="str">
        <f ca="1">IF(AZ123=$AR$11,$AQ$11,IF(AZ123=$AR$12,$AQ$12,VLOOKUP(AZ123,Voorblad!$X$67:$Z$98,2,FALSE)))</f>
        <v>Roemenië</v>
      </c>
      <c r="AZ123" s="706" t="str">
        <f t="shared" ca="1" si="35"/>
        <v>E3</v>
      </c>
      <c r="BA123" s="708">
        <f t="shared" si="37"/>
        <v>34</v>
      </c>
    </row>
    <row r="124" spans="28:53" x14ac:dyDescent="0.25">
      <c r="AB124" s="419"/>
      <c r="AC124" s="494" t="s">
        <v>1890</v>
      </c>
      <c r="AD124" s="419" t="s">
        <v>69</v>
      </c>
      <c r="AE124" s="419" t="str">
        <f>Voorblad!$Z$73</f>
        <v>IT</v>
      </c>
      <c r="AF124" s="748" t="s">
        <v>381</v>
      </c>
      <c r="AG124" s="419" t="str">
        <f t="shared" ca="1" si="38"/>
        <v>JA</v>
      </c>
      <c r="AH124" s="419"/>
      <c r="AI124" s="419"/>
      <c r="AJ124" s="419"/>
      <c r="AK124" s="419"/>
      <c r="AL124" s="419"/>
      <c r="AM124" s="419"/>
      <c r="AN124" s="748" t="s">
        <v>381</v>
      </c>
      <c r="AO124" s="497" t="str">
        <f ca="1">IF(AP121&gt;=AP122,"JA",IF(AP120="NEE","onvoldoende gegevens","NEE"))</f>
        <v>JA</v>
      </c>
      <c r="AP124" s="749"/>
      <c r="AQ124" s="724" t="str">
        <f ca="1">IF(AR124=$AR$11,$AQ$11,IF(AR124=$AR$12,$AQ$12,VLOOKUP(AR124,Voorblad!$X$67:$Z$98,2,FALSE)))</f>
        <v>Schotland</v>
      </c>
      <c r="AR124" s="725" t="str">
        <f t="shared" ca="1" si="31"/>
        <v>A2</v>
      </c>
      <c r="AS124" s="700" t="str">
        <f ca="1">IF(AT124=$AR$11,$AQ$11,IF(AT124=$AR$12,$AQ$12,VLOOKUP(AT124,Voorblad!$X$67:$Z$98,2,FALSE)))</f>
        <v>Schotland</v>
      </c>
      <c r="AT124" s="701" t="str">
        <f t="shared" ca="1" si="32"/>
        <v>A2</v>
      </c>
      <c r="AU124" s="700" t="str">
        <f ca="1">IF(AV124=$AR$11,$AQ$11,IF(AV124=$AR$12,$AQ$12,VLOOKUP(AV124,Voorblad!$X$67:$Z$98,2,FALSE)))</f>
        <v>Schotland</v>
      </c>
      <c r="AV124" s="701" t="str">
        <f t="shared" ca="1" si="33"/>
        <v>A2</v>
      </c>
      <c r="AW124" s="705" t="str">
        <f ca="1">IF(AX124=$AR$11,$AQ$11,IF(AX124=$AR$12,$AQ$12,VLOOKUP(AX124,Voorblad!$X$67:$Z$98,2,FALSE)))</f>
        <v>Schotland</v>
      </c>
      <c r="AX124" s="706" t="str">
        <f t="shared" ca="1" si="34"/>
        <v>A2</v>
      </c>
      <c r="AY124" s="705" t="str">
        <f ca="1">IF(AZ124=$AR$11,$AQ$11,IF(AZ124=$AR$12,$AQ$12,VLOOKUP(AZ124,Voorblad!$X$67:$Z$98,2,FALSE)))</f>
        <v>Schotland</v>
      </c>
      <c r="AZ124" s="706" t="str">
        <f t="shared" ca="1" si="35"/>
        <v>A2</v>
      </c>
      <c r="BA124" s="708">
        <f t="shared" si="37"/>
        <v>36</v>
      </c>
    </row>
    <row r="125" spans="28:53" x14ac:dyDescent="0.25">
      <c r="AB125" s="419"/>
      <c r="AC125" s="494" t="s">
        <v>1891</v>
      </c>
      <c r="AD125" s="419" t="s">
        <v>69</v>
      </c>
      <c r="AE125" s="419" t="str">
        <f>Voorblad!$Z$80</f>
        <v>NL</v>
      </c>
      <c r="AF125" s="748" t="s">
        <v>381</v>
      </c>
      <c r="AG125" s="419" t="str">
        <f t="shared" ca="1" si="38"/>
        <v>JA</v>
      </c>
      <c r="AH125" s="419"/>
      <c r="AI125" s="419"/>
      <c r="AJ125" s="419"/>
      <c r="AK125" s="419"/>
      <c r="AL125" s="419"/>
      <c r="AM125" s="419"/>
      <c r="AN125" s="379"/>
      <c r="AO125" s="379"/>
      <c r="AP125" s="750"/>
      <c r="AQ125" s="724" t="str">
        <f ca="1">IF(AR125=$AR$11,$AQ$11,IF(AR125=$AR$12,$AQ$12,VLOOKUP(AR125,Voorblad!$X$67:$Z$98,2,FALSE)))</f>
        <v>Servië</v>
      </c>
      <c r="AR125" s="725" t="str">
        <f t="shared" ca="1" si="31"/>
        <v>C3</v>
      </c>
      <c r="AS125" s="700" t="str">
        <f ca="1">IF(AT125=$AR$11,$AQ$11,IF(AT125=$AR$12,$AQ$12,VLOOKUP(AT125,Voorblad!$X$67:$Z$98,2,FALSE)))</f>
        <v>Servië</v>
      </c>
      <c r="AT125" s="701" t="str">
        <f t="shared" ca="1" si="32"/>
        <v>C3</v>
      </c>
      <c r="AU125" s="700" t="str">
        <f ca="1">IF(AV125=$AR$11,$AQ$11,IF(AV125=$AR$12,$AQ$12,VLOOKUP(AV125,Voorblad!$X$67:$Z$98,2,FALSE)))</f>
        <v>Servië</v>
      </c>
      <c r="AV125" s="701" t="str">
        <f t="shared" ca="1" si="33"/>
        <v>C3</v>
      </c>
      <c r="AW125" s="705" t="str">
        <f ca="1">IF(AX125=$AR$11,$AQ$11,IF(AX125=$AR$12,$AQ$12,VLOOKUP(AX125,Voorblad!$X$67:$Z$98,2,FALSE)))</f>
        <v>Servië</v>
      </c>
      <c r="AX125" s="706" t="str">
        <f t="shared" ca="1" si="34"/>
        <v>C3</v>
      </c>
      <c r="AY125" s="705" t="str">
        <f ca="1">IF(AZ125=$AR$11,$AQ$11,IF(AZ125=$AR$12,$AQ$12,VLOOKUP(AZ125,Voorblad!$X$67:$Z$98,2,FALSE)))</f>
        <v>Servië</v>
      </c>
      <c r="AZ125" s="706" t="str">
        <f t="shared" ca="1" si="35"/>
        <v>C3</v>
      </c>
      <c r="BA125" s="708">
        <f t="shared" si="37"/>
        <v>38</v>
      </c>
    </row>
    <row r="126" spans="28:53" x14ac:dyDescent="0.25">
      <c r="AB126" s="379"/>
      <c r="AC126" s="494" t="s">
        <v>1892</v>
      </c>
      <c r="AD126" s="419" t="s">
        <v>69</v>
      </c>
      <c r="AE126" s="419" t="str">
        <f>Voorblad!$Z$89</f>
        <v>PT</v>
      </c>
      <c r="AF126" s="748" t="s">
        <v>381</v>
      </c>
      <c r="AG126" s="419" t="str">
        <f t="shared" ca="1" si="38"/>
        <v>JA</v>
      </c>
      <c r="AH126" s="379"/>
      <c r="AI126" s="379"/>
      <c r="AJ126" s="379"/>
      <c r="AK126" s="379"/>
      <c r="AL126" s="379"/>
      <c r="AM126" s="379"/>
      <c r="AN126" s="379"/>
      <c r="AO126" s="379"/>
      <c r="AP126" s="750"/>
      <c r="AQ126" s="724" t="str">
        <f ca="1">IF(AR126=$AR$11,$AQ$11,IF(AR126=$AR$12,$AQ$12,VLOOKUP(AR126,Voorblad!$X$67:$Z$98,2,FALSE)))</f>
        <v>Slovenië</v>
      </c>
      <c r="AR126" s="725" t="str">
        <f t="shared" ca="1" si="31"/>
        <v>C1</v>
      </c>
      <c r="AS126" s="700" t="str">
        <f ca="1">IF(AT126=$AR$11,$AQ$11,IF(AT126=$AR$12,$AQ$12,VLOOKUP(AT126,Voorblad!$X$67:$Z$98,2,FALSE)))</f>
        <v>Slovenië</v>
      </c>
      <c r="AT126" s="701" t="str">
        <f t="shared" ca="1" si="32"/>
        <v>C1</v>
      </c>
      <c r="AU126" s="700" t="str">
        <f ca="1">IF(AV126=$AR$11,$AQ$11,IF(AV126=$AR$12,$AQ$12,VLOOKUP(AV126,Voorblad!$X$67:$Z$98,2,FALSE)))</f>
        <v>Slovenië</v>
      </c>
      <c r="AV126" s="701" t="str">
        <f t="shared" ca="1" si="33"/>
        <v>C1</v>
      </c>
      <c r="AW126" s="705" t="str">
        <f ca="1">IF(AX126=$AR$11,$AQ$11,IF(AX126=$AR$12,$AQ$12,VLOOKUP(AX126,Voorblad!$X$67:$Z$98,2,FALSE)))</f>
        <v>Slovenië</v>
      </c>
      <c r="AX126" s="706" t="str">
        <f t="shared" ca="1" si="34"/>
        <v>C1</v>
      </c>
      <c r="AY126" s="705" t="str">
        <f ca="1">IF(AZ126=$AR$11,$AQ$11,IF(AZ126=$AR$12,$AQ$12,VLOOKUP(AZ126,Voorblad!$X$67:$Z$98,2,FALSE)))</f>
        <v>Slovenië</v>
      </c>
      <c r="AZ126" s="706" t="str">
        <f t="shared" ca="1" si="35"/>
        <v>C1</v>
      </c>
      <c r="BA126" s="708">
        <f t="shared" si="37"/>
        <v>40</v>
      </c>
    </row>
    <row r="127" spans="28:53" x14ac:dyDescent="0.25">
      <c r="AB127" s="376"/>
      <c r="AC127" s="494" t="s">
        <v>1893</v>
      </c>
      <c r="AD127" s="419" t="s">
        <v>69</v>
      </c>
      <c r="AE127" s="419" t="str">
        <f>Voorblad!$Z$71</f>
        <v>ES</v>
      </c>
      <c r="AF127" s="748" t="s">
        <v>381</v>
      </c>
      <c r="AG127" s="419" t="str">
        <f t="shared" ca="1" si="38"/>
        <v>JA</v>
      </c>
      <c r="AH127" s="376"/>
      <c r="AI127" s="376"/>
      <c r="AJ127" s="376"/>
      <c r="AK127" s="376"/>
      <c r="AL127" s="376"/>
      <c r="AM127" s="376"/>
      <c r="AN127" s="376"/>
      <c r="AO127" s="376"/>
      <c r="AP127" s="751"/>
      <c r="AQ127" s="724" t="str">
        <f ca="1">IF(AR127=$AR$11,$AQ$11,IF(AR127=$AR$12,$AQ$12,VLOOKUP(AR127,Voorblad!$X$67:$Z$98,2,FALSE)))</f>
        <v>Slowakije</v>
      </c>
      <c r="AR127" s="725" t="str">
        <f t="shared" ca="1" si="31"/>
        <v>E2</v>
      </c>
      <c r="AS127" s="700" t="str">
        <f ca="1">IF(AT127=$AR$11,$AQ$11,IF(AT127=$AR$12,$AQ$12,VLOOKUP(AT127,Voorblad!$X$67:$Z$98,2,FALSE)))</f>
        <v>Slowakije</v>
      </c>
      <c r="AT127" s="701" t="str">
        <f t="shared" ca="1" si="32"/>
        <v>E2</v>
      </c>
      <c r="AU127" s="700" t="str">
        <f ca="1">IF(AV127=$AR$11,$AQ$11,IF(AV127=$AR$12,$AQ$12,VLOOKUP(AV127,Voorblad!$X$67:$Z$98,2,FALSE)))</f>
        <v>Slowakije</v>
      </c>
      <c r="AV127" s="701" t="str">
        <f t="shared" ca="1" si="33"/>
        <v>E2</v>
      </c>
      <c r="AW127" s="705" t="str">
        <f ca="1">IF(AX127=$AR$11,$AQ$11,IF(AX127=$AR$12,$AQ$12,VLOOKUP(AX127,Voorblad!$X$67:$Z$98,2,FALSE)))</f>
        <v>Slowakije</v>
      </c>
      <c r="AX127" s="706" t="str">
        <f t="shared" ca="1" si="34"/>
        <v>E2</v>
      </c>
      <c r="AY127" s="705" t="str">
        <f ca="1">IF(AZ127=$AR$11,$AQ$11,IF(AZ127=$AR$12,$AQ$12,VLOOKUP(AZ127,Voorblad!$X$67:$Z$98,2,FALSE)))</f>
        <v>Slowakije</v>
      </c>
      <c r="AZ127" s="706" t="str">
        <f t="shared" ca="1" si="35"/>
        <v>E2</v>
      </c>
      <c r="BA127" s="708">
        <f t="shared" si="37"/>
        <v>42</v>
      </c>
    </row>
    <row r="128" spans="28:53" x14ac:dyDescent="0.25">
      <c r="AB128" s="491" t="s">
        <v>96</v>
      </c>
      <c r="AC128" s="492" t="str">
        <f>Taal04!$C$130</f>
        <v>Van de vier landen die als beste nr. 3 doorgaan naar de achtste finales weet er minimaal één ook de kwartfinales te bereiken.</v>
      </c>
      <c r="AD128" s="493"/>
      <c r="AE128" s="493"/>
      <c r="AF128" s="493"/>
      <c r="AG128" s="493"/>
      <c r="AH128" s="493"/>
      <c r="AI128" s="493"/>
      <c r="AJ128" s="493"/>
      <c r="AK128" s="493"/>
      <c r="AL128" s="493"/>
      <c r="AM128" s="493"/>
      <c r="AN128" s="493"/>
      <c r="AO128" s="493"/>
      <c r="AP128" s="756"/>
      <c r="AQ128" s="724" t="str">
        <f ca="1">IF(AR128=$AR$11,$AQ$11,IF(AR128=$AR$12,$AQ$12,VLOOKUP(AR128,Voorblad!$X$67:$Z$98,2,FALSE)))</f>
        <v>Spanje</v>
      </c>
      <c r="AR128" s="725" t="str">
        <f t="shared" ca="1" si="31"/>
        <v>B1</v>
      </c>
      <c r="AS128" s="700" t="str">
        <f ca="1">IF(AT128=$AR$11,$AQ$11,IF(AT128=$AR$12,$AQ$12,VLOOKUP(AT128,Voorblad!$X$67:$Z$98,2,FALSE)))</f>
        <v>Spanje</v>
      </c>
      <c r="AT128" s="701" t="str">
        <f t="shared" ca="1" si="32"/>
        <v>B1</v>
      </c>
      <c r="AU128" s="700" t="str">
        <f ca="1">IF(AV128=$AR$11,$AQ$11,IF(AV128=$AR$12,$AQ$12,VLOOKUP(AV128,Voorblad!$X$67:$Z$98,2,FALSE)))</f>
        <v>Spanje</v>
      </c>
      <c r="AV128" s="701" t="str">
        <f t="shared" ca="1" si="33"/>
        <v>B1</v>
      </c>
      <c r="AW128" s="705" t="str">
        <f ca="1">IF(AX128=$AR$11,$AQ$11,IF(AX128=$AR$12,$AQ$12,VLOOKUP(AX128,Voorblad!$X$67:$Z$98,2,FALSE)))</f>
        <v>Spanje</v>
      </c>
      <c r="AX128" s="706" t="str">
        <f t="shared" ca="1" si="34"/>
        <v>B1</v>
      </c>
      <c r="AY128" s="705" t="str">
        <f ca="1">IF(AZ128=$AR$11,$AQ$11,IF(AZ128=$AR$12,$AQ$12,VLOOKUP(AZ128,Voorblad!$X$67:$Z$98,2,FALSE)))</f>
        <v>Spanje</v>
      </c>
      <c r="AZ128" s="706" t="str">
        <f t="shared" ca="1" si="35"/>
        <v>B1</v>
      </c>
      <c r="BA128" s="708">
        <f t="shared" si="37"/>
        <v>44</v>
      </c>
    </row>
    <row r="129" spans="28:53" x14ac:dyDescent="0.25">
      <c r="AB129" s="419"/>
      <c r="AC129" s="494" t="s">
        <v>436</v>
      </c>
      <c r="AD129" s="419"/>
      <c r="AE129" s="419" t="s">
        <v>69</v>
      </c>
      <c r="AF129" s="494" t="str">
        <f>"HUIDIG BLAD"</f>
        <v>HUIDIG BLAD</v>
      </c>
      <c r="AG129" s="494"/>
      <c r="AH129" s="419"/>
      <c r="AI129" s="419"/>
      <c r="AJ129" s="419"/>
      <c r="AK129" s="419"/>
      <c r="AL129" s="419"/>
      <c r="AM129" s="419"/>
      <c r="AN129" s="419"/>
      <c r="AO129" s="498" t="s">
        <v>460</v>
      </c>
      <c r="AP129" s="757">
        <f ca="1">COUNTIF(AM130:AM133,"onvoldoende gegevens")</f>
        <v>0</v>
      </c>
      <c r="AQ129" s="724" t="str">
        <f ca="1">IF(AR129=$AR$11,$AQ$11,IF(AR129=$AR$12,$AQ$12,VLOOKUP(AR129,Voorblad!$X$67:$Z$98,2,FALSE)))</f>
        <v>Tsjechië</v>
      </c>
      <c r="AR129" s="725" t="str">
        <f t="shared" ca="1" si="31"/>
        <v>F4</v>
      </c>
      <c r="AS129" s="700" t="str">
        <f ca="1">IF(AT129=$AR$11,$AQ$11,IF(AT129=$AR$12,$AQ$12,VLOOKUP(AT129,Voorblad!$X$67:$Z$98,2,FALSE)))</f>
        <v>Tsjechië</v>
      </c>
      <c r="AT129" s="701" t="str">
        <f t="shared" ca="1" si="32"/>
        <v>F4</v>
      </c>
      <c r="AU129" s="700" t="str">
        <f ca="1">IF(AV129=$AR$11,$AQ$11,IF(AV129=$AR$12,$AQ$12,VLOOKUP(AV129,Voorblad!$X$67:$Z$98,2,FALSE)))</f>
        <v>Tsjechië</v>
      </c>
      <c r="AV129" s="701" t="str">
        <f t="shared" ca="1" si="33"/>
        <v>F4</v>
      </c>
      <c r="AW129" s="705" t="str">
        <f ca="1">IF(AX129=$AR$11,$AQ$11,IF(AX129=$AR$12,$AQ$12,VLOOKUP(AX129,Voorblad!$X$67:$Z$98,2,FALSE)))</f>
        <v>Tsjechië</v>
      </c>
      <c r="AX129" s="706" t="str">
        <f t="shared" ca="1" si="34"/>
        <v>F4</v>
      </c>
      <c r="AY129" s="705" t="str">
        <f ca="1">IF(AZ129=$AR$11,$AQ$11,IF(AZ129=$AR$12,$AQ$12,VLOOKUP(AZ129,Voorblad!$X$67:$Z$98,2,FALSE)))</f>
        <v>Tsjechië</v>
      </c>
      <c r="AZ129" s="706" t="str">
        <f t="shared" ca="1" si="35"/>
        <v>F4</v>
      </c>
      <c r="BA129" s="708">
        <f t="shared" si="37"/>
        <v>46</v>
      </c>
    </row>
    <row r="130" spans="28:53" x14ac:dyDescent="0.25">
      <c r="AB130" s="419"/>
      <c r="AC130" s="494" t="s">
        <v>2449</v>
      </c>
      <c r="AD130" s="419"/>
      <c r="AE130" s="419" t="s">
        <v>69</v>
      </c>
      <c r="AF130" s="419" t="str">
        <f ca="1">IF($AL$18="GOED",$AF$18,$AL$18)</f>
        <v>SK</v>
      </c>
      <c r="AG130" s="419" t="s">
        <v>424</v>
      </c>
      <c r="AH130" s="494" t="s">
        <v>2440</v>
      </c>
      <c r="AI130" s="419"/>
      <c r="AJ130" s="419" t="s">
        <v>69</v>
      </c>
      <c r="AK130" s="419" t="str">
        <f ca="1">IF($AK$40="GOED",$AD$40,$AK$40)</f>
        <v>GB</v>
      </c>
      <c r="AL130" s="748" t="s">
        <v>381</v>
      </c>
      <c r="AM130" s="494" t="str">
        <f ca="1">IF(OR(AF130="LEEG",AF130="FOUT",AF130="ONGELDIG",AK130="LEEG",AK130="FOUT",AK130="ONGELDIG"),"onvoldoende gegevens",IF(AF130=AK130,"JA","NEE"))</f>
        <v>NEE</v>
      </c>
      <c r="AN130" s="419"/>
      <c r="AO130" s="498" t="s">
        <v>461</v>
      </c>
      <c r="AP130" s="757">
        <f ca="1">COUNTIF(AM130:AM133,"JA")</f>
        <v>0</v>
      </c>
      <c r="AQ130" s="724" t="str">
        <f ca="1">IF(AR130=$AR$11,$AQ$11,IF(AR130=$AR$12,$AQ$12,VLOOKUP(AR130,Voorblad!$X$67:$Z$98,2,FALSE)))</f>
        <v>Turkije</v>
      </c>
      <c r="AR130" s="725" t="str">
        <f t="shared" ca="1" si="31"/>
        <v>F1</v>
      </c>
      <c r="AS130" s="700" t="str">
        <f ca="1">IF(AT130=$AR$11,$AQ$11,IF(AT130=$AR$12,$AQ$12,VLOOKUP(AT130,Voorblad!$X$67:$Z$98,2,FALSE)))</f>
        <v>Turkije</v>
      </c>
      <c r="AT130" s="701" t="str">
        <f t="shared" ca="1" si="32"/>
        <v>F1</v>
      </c>
      <c r="AU130" s="700" t="str">
        <f ca="1">IF(AV130=$AR$11,$AQ$11,IF(AV130=$AR$12,$AQ$12,VLOOKUP(AV130,Voorblad!$X$67:$Z$98,2,FALSE)))</f>
        <v>Turkije</v>
      </c>
      <c r="AV130" s="701" t="str">
        <f t="shared" ca="1" si="33"/>
        <v>F1</v>
      </c>
      <c r="AW130" s="705" t="str">
        <f ca="1">IF(AX130=$AR$11,$AQ$11,IF(AX130=$AR$12,$AQ$12,VLOOKUP(AX130,Voorblad!$X$67:$Z$98,2,FALSE)))</f>
        <v>Turkije</v>
      </c>
      <c r="AX130" s="706" t="str">
        <f t="shared" ca="1" si="34"/>
        <v>F1</v>
      </c>
      <c r="AY130" s="705" t="str">
        <f ca="1">IF(AZ130=$AR$11,$AQ$11,IF(AZ130=$AR$12,$AQ$12,VLOOKUP(AZ130,Voorblad!$X$67:$Z$98,2,FALSE)))</f>
        <v>Turkije</v>
      </c>
      <c r="AZ130" s="706" t="str">
        <f t="shared" ca="1" si="35"/>
        <v>F1</v>
      </c>
      <c r="BA130" s="708">
        <f t="shared" si="37"/>
        <v>48</v>
      </c>
    </row>
    <row r="131" spans="28:53" x14ac:dyDescent="0.25">
      <c r="AB131" s="419"/>
      <c r="AC131" s="494" t="s">
        <v>2450</v>
      </c>
      <c r="AD131" s="419"/>
      <c r="AE131" s="419" t="s">
        <v>69</v>
      </c>
      <c r="AF131" s="419" t="str">
        <f ca="1">IF($AL$20="GOED",$AF$20,$AL$20)</f>
        <v>AT</v>
      </c>
      <c r="AG131" s="419" t="s">
        <v>424</v>
      </c>
      <c r="AH131" s="494" t="s">
        <v>2442</v>
      </c>
      <c r="AI131" s="419"/>
      <c r="AJ131" s="419" t="s">
        <v>69</v>
      </c>
      <c r="AK131" s="419" t="str">
        <f ca="1">IF($AK$36="GOED",$AD$36,$AK$36)</f>
        <v>ES</v>
      </c>
      <c r="AL131" s="748" t="s">
        <v>381</v>
      </c>
      <c r="AM131" s="494" t="str">
        <f ca="1">IF(OR(AF131="LEEG",AF131="FOUT",AF131="ONGELDIG",AK131="LEEG",AK131="FOUT",AK131="ONGELDIG"),"onvoldoende gegevens",IF(AF131=AK131,"JA","NEE"))</f>
        <v>NEE</v>
      </c>
      <c r="AN131" s="419"/>
      <c r="AO131" s="498" t="s">
        <v>1055</v>
      </c>
      <c r="AP131" s="757">
        <v>1</v>
      </c>
      <c r="AQ131" s="724" t="str">
        <f ca="1">IF(AR131=$AR$11,$AQ$11,IF(AR131=$AR$12,$AQ$12,VLOOKUP(AR131,Voorblad!$X$67:$Z$98,2,FALSE)))</f>
        <v>Zwitserland</v>
      </c>
      <c r="AR131" s="725" t="str">
        <f t="shared" ca="1" si="31"/>
        <v>A4</v>
      </c>
      <c r="AS131" s="700" t="str">
        <f ca="1">IF(AT131=$AR$11,$AQ$11,IF(AT131=$AR$12,$AQ$12,VLOOKUP(AT131,Voorblad!$X$67:$Z$98,2,FALSE)))</f>
        <v>Zwitserland</v>
      </c>
      <c r="AT131" s="701" t="str">
        <f t="shared" ca="1" si="32"/>
        <v>A4</v>
      </c>
      <c r="AU131" s="700" t="str">
        <f ca="1">IF(AV131=$AR$11,$AQ$11,IF(AV131=$AR$12,$AQ$12,VLOOKUP(AV131,Voorblad!$X$67:$Z$98,2,FALSE)))</f>
        <v>Zwitserland</v>
      </c>
      <c r="AV131" s="701" t="str">
        <f t="shared" ca="1" si="33"/>
        <v>A4</v>
      </c>
      <c r="AW131" s="705" t="str">
        <f ca="1">IF(AX131=$AR$11,$AQ$11,IF(AX131=$AR$12,$AQ$12,VLOOKUP(AX131,Voorblad!$X$67:$Z$98,2,FALSE)))</f>
        <v>Zwitserland</v>
      </c>
      <c r="AX131" s="706" t="str">
        <f t="shared" ca="1" si="34"/>
        <v>A4</v>
      </c>
      <c r="AY131" s="705" t="str">
        <f ca="1">IF(AZ131=$AR$11,$AQ$11,IF(AZ131=$AR$12,$AQ$12,VLOOKUP(AZ131,Voorblad!$X$67:$Z$98,2,FALSE)))</f>
        <v>Zwitserland</v>
      </c>
      <c r="AZ131" s="706" t="str">
        <f t="shared" ca="1" si="35"/>
        <v>A4</v>
      </c>
      <c r="BA131" s="708">
        <f t="shared" si="37"/>
        <v>50</v>
      </c>
    </row>
    <row r="132" spans="28:53" x14ac:dyDescent="0.25">
      <c r="AB132" s="419"/>
      <c r="AC132" s="494" t="s">
        <v>2451</v>
      </c>
      <c r="AD132" s="419"/>
      <c r="AE132" s="419" t="s">
        <v>69</v>
      </c>
      <c r="AF132" s="419" t="str">
        <f ca="1">IF($AL$24="GOED",$AF$24,$AL$24)</f>
        <v>IT</v>
      </c>
      <c r="AG132" s="419" t="s">
        <v>424</v>
      </c>
      <c r="AH132" s="494" t="s">
        <v>2443</v>
      </c>
      <c r="AI132" s="419"/>
      <c r="AJ132" s="419" t="s">
        <v>69</v>
      </c>
      <c r="AK132" s="419" t="str">
        <f ca="1">IF($AK$38="GOED",$AD$38,$AK$38)</f>
        <v>PT</v>
      </c>
      <c r="AL132" s="748" t="s">
        <v>381</v>
      </c>
      <c r="AM132" s="494" t="str">
        <f ca="1">IF(OR(AF132="LEEG",AF132="FOUT",AF132="ONGELDIG",AK132="LEEG",AK132="FOUT",AK132="ONGELDIG"),"onvoldoende gegevens",IF(AF132=AK132,"JA","NEE"))</f>
        <v>NEE</v>
      </c>
      <c r="AN132" s="494"/>
      <c r="AO132" s="498" t="s">
        <v>462</v>
      </c>
      <c r="AP132" s="757">
        <f ca="1">COUNTIF(AM130:AM133,"NEE")</f>
        <v>4</v>
      </c>
      <c r="AQ132" s="724" t="str">
        <f ca="1">IF(AR132=$AR$11,$AQ$11,IF(AR132=$AR$12,$AQ$12,VLOOKUP(AR132,Voorblad!$X$67:$Z$98,2,FALSE)))</f>
        <v/>
      </c>
      <c r="AR132" s="725" t="str">
        <f t="shared" ca="1" si="31"/>
        <v>??</v>
      </c>
      <c r="AS132" s="700" t="str">
        <f ca="1">IF(AT132=$AR$11,$AQ$11,IF(AT132=$AR$12,$AQ$12,VLOOKUP(AT132,Voorblad!$X$67:$Z$98,2,FALSE)))</f>
        <v/>
      </c>
      <c r="AT132" s="701" t="str">
        <f t="shared" ca="1" si="32"/>
        <v>??</v>
      </c>
      <c r="AU132" s="700" t="str">
        <f ca="1">IF(AV132=$AR$11,$AQ$11,IF(AV132=$AR$12,$AQ$12,VLOOKUP(AV132,Voorblad!$X$67:$Z$98,2,FALSE)))</f>
        <v/>
      </c>
      <c r="AV132" s="701" t="str">
        <f t="shared" ca="1" si="33"/>
        <v>??</v>
      </c>
      <c r="AW132" s="705" t="str">
        <f ca="1">IF(AX132=$AR$11,$AQ$11,IF(AX132=$AR$12,$AQ$12,VLOOKUP(AX132,Voorblad!$X$67:$Z$98,2,FALSE)))</f>
        <v/>
      </c>
      <c r="AX132" s="706" t="str">
        <f t="shared" ca="1" si="34"/>
        <v>??</v>
      </c>
      <c r="AY132" s="705" t="str">
        <f ca="1">IF(AZ132=$AR$11,$AQ$11,IF(AZ132=$AR$12,$AQ$12,VLOOKUP(AZ132,Voorblad!$X$67:$Z$98,2,FALSE)))</f>
        <v/>
      </c>
      <c r="AZ132" s="706" t="str">
        <f t="shared" ca="1" si="35"/>
        <v>??</v>
      </c>
      <c r="BA132" s="708">
        <f t="shared" si="37"/>
        <v>52</v>
      </c>
    </row>
    <row r="133" spans="28:53" ht="15" customHeight="1" x14ac:dyDescent="0.25">
      <c r="AB133" s="419"/>
      <c r="AC133" s="494" t="s">
        <v>2452</v>
      </c>
      <c r="AD133" s="419"/>
      <c r="AE133" s="419" t="s">
        <v>69</v>
      </c>
      <c r="AF133" s="419" t="str">
        <f ca="1">IF($AL$26="GOED",$AF$26,$AL$26)</f>
        <v>RS</v>
      </c>
      <c r="AG133" s="419" t="s">
        <v>424</v>
      </c>
      <c r="AH133" s="494" t="s">
        <v>2444</v>
      </c>
      <c r="AI133" s="419"/>
      <c r="AJ133" s="419" t="s">
        <v>69</v>
      </c>
      <c r="AK133" s="419" t="str">
        <f ca="1">IF($AK$42="GOED",$AD$42,$AK$42)</f>
        <v>BE</v>
      </c>
      <c r="AL133" s="748" t="s">
        <v>381</v>
      </c>
      <c r="AM133" s="494" t="str">
        <f ca="1">IF(OR(AF133="LEEG",AF133="FOUT",AF133="ONGELDIG",AK133="LEEG",AK133="FOUT",AK133="ONGELDIG"),"onvoldoende gegevens",IF(AF133=AK133,"JA","NEE"))</f>
        <v>NEE</v>
      </c>
      <c r="AN133" s="748" t="s">
        <v>381</v>
      </c>
      <c r="AO133" s="497" t="str">
        <f ca="1">IF(AP130&gt;=AP131,"JA",IF(AP129&gt;0,"onvoldoende gegevens","NEE"))</f>
        <v>NEE</v>
      </c>
      <c r="AP133" s="749"/>
      <c r="AQ133" s="724" t="str">
        <f ca="1">IF(AR133=$AR$11,$AQ$11,IF(AR133=$AR$12,$AQ$12,VLOOKUP(AR133,Voorblad!$X$67:$Z$98,2,FALSE)))</f>
        <v/>
      </c>
      <c r="AR133" s="725" t="str">
        <f t="shared" ca="1" si="31"/>
        <v>??</v>
      </c>
      <c r="AS133" s="700" t="str">
        <f ca="1">IF(AT133=$AR$11,$AQ$11,IF(AT133=$AR$12,$AQ$12,VLOOKUP(AT133,Voorblad!$X$67:$Z$98,2,FALSE)))</f>
        <v/>
      </c>
      <c r="AT133" s="701" t="str">
        <f t="shared" ca="1" si="32"/>
        <v>??</v>
      </c>
      <c r="AU133" s="700" t="str">
        <f ca="1">IF(AV133=$AR$11,$AQ$11,IF(AV133=$AR$12,$AQ$12,VLOOKUP(AV133,Voorblad!$X$67:$Z$98,2,FALSE)))</f>
        <v/>
      </c>
      <c r="AV133" s="701" t="str">
        <f t="shared" ca="1" si="33"/>
        <v>??</v>
      </c>
      <c r="AW133" s="705" t="str">
        <f ca="1">IF(AX133=$AR$11,$AQ$11,IF(AX133=$AR$12,$AQ$12,VLOOKUP(AX133,Voorblad!$X$67:$Z$98,2,FALSE)))</f>
        <v/>
      </c>
      <c r="AX133" s="706" t="str">
        <f t="shared" ca="1" si="34"/>
        <v>??</v>
      </c>
      <c r="AY133" s="705" t="str">
        <f ca="1">IF(AZ133=$AR$11,$AQ$11,IF(AZ133=$AR$12,$AQ$12,VLOOKUP(AZ133,Voorblad!$X$67:$Z$98,2,FALSE)))</f>
        <v/>
      </c>
      <c r="AZ133" s="706" t="str">
        <f t="shared" ca="1" si="35"/>
        <v>??</v>
      </c>
      <c r="BA133" s="708">
        <f t="shared" si="37"/>
        <v>54</v>
      </c>
    </row>
    <row r="134" spans="28:53" x14ac:dyDescent="0.25">
      <c r="AB134" s="419"/>
      <c r="AC134" s="494"/>
      <c r="AD134" s="419"/>
      <c r="AE134" s="419"/>
      <c r="AF134" s="748"/>
      <c r="AG134" s="419"/>
      <c r="AH134" s="494"/>
      <c r="AI134" s="494"/>
      <c r="AJ134" s="419"/>
      <c r="AK134" s="419"/>
      <c r="AL134" s="748"/>
      <c r="AM134" s="494"/>
      <c r="AN134" s="494"/>
      <c r="AO134" s="494"/>
      <c r="AP134" s="494"/>
      <c r="AQ134" s="724" t="str">
        <f ca="1">IF(AR134=$AR$11,$AQ$11,IF(AR134=$AR$12,$AQ$12,VLOOKUP(AR134,Voorblad!$X$67:$Z$98,2,FALSE)))</f>
        <v/>
      </c>
      <c r="AR134" s="725" t="str">
        <f t="shared" ca="1" si="31"/>
        <v>??</v>
      </c>
      <c r="AS134" s="700" t="str">
        <f ca="1">IF(AT134=$AR$11,$AQ$11,IF(AT134=$AR$12,$AQ$12,VLOOKUP(AT134,Voorblad!$X$67:$Z$98,2,FALSE)))</f>
        <v/>
      </c>
      <c r="AT134" s="701" t="str">
        <f t="shared" ca="1" si="32"/>
        <v>??</v>
      </c>
      <c r="AU134" s="700" t="str">
        <f ca="1">IF(AV134=$AR$11,$AQ$11,IF(AV134=$AR$12,$AQ$12,VLOOKUP(AV134,Voorblad!$X$67:$Z$98,2,FALSE)))</f>
        <v/>
      </c>
      <c r="AV134" s="701" t="str">
        <f t="shared" ca="1" si="33"/>
        <v>??</v>
      </c>
      <c r="AW134" s="705" t="str">
        <f ca="1">IF(AX134=$AR$11,$AQ$11,IF(AX134=$AR$12,$AQ$12,VLOOKUP(AX134,Voorblad!$X$67:$Z$98,2,FALSE)))</f>
        <v/>
      </c>
      <c r="AX134" s="706" t="str">
        <f t="shared" ca="1" si="34"/>
        <v>??</v>
      </c>
      <c r="AY134" s="705" t="str">
        <f ca="1">IF(AZ134=$AR$11,$AQ$11,IF(AZ134=$AR$12,$AQ$12,VLOOKUP(AZ134,Voorblad!$X$67:$Z$98,2,FALSE)))</f>
        <v/>
      </c>
      <c r="AZ134" s="706" t="str">
        <f t="shared" ca="1" si="35"/>
        <v>??</v>
      </c>
      <c r="BA134" s="708">
        <f t="shared" si="37"/>
        <v>56</v>
      </c>
    </row>
    <row r="135" spans="28:53" x14ac:dyDescent="0.25">
      <c r="AB135" s="419"/>
      <c r="AC135" s="494"/>
      <c r="AD135" s="419"/>
      <c r="AE135" s="419"/>
      <c r="AF135" s="748"/>
      <c r="AG135" s="419"/>
      <c r="AH135" s="494"/>
      <c r="AI135" s="494"/>
      <c r="AJ135" s="419"/>
      <c r="AK135" s="419"/>
      <c r="AL135" s="748"/>
      <c r="AM135" s="494"/>
      <c r="AN135" s="494"/>
      <c r="AO135" s="494"/>
      <c r="AP135" s="419"/>
      <c r="AQ135" s="724" t="str">
        <f ca="1">IF(AR135=$AR$11,$AQ$11,IF(AR135=$AR$12,$AQ$12,VLOOKUP(AR135,Voorblad!$X$67:$Z$98,2,FALSE)))</f>
        <v/>
      </c>
      <c r="AR135" s="725" t="str">
        <f t="shared" ca="1" si="31"/>
        <v>??</v>
      </c>
      <c r="AS135" s="700" t="str">
        <f ca="1">IF(AT135=$AR$11,$AQ$11,IF(AT135=$AR$12,$AQ$12,VLOOKUP(AT135,Voorblad!$X$67:$Z$98,2,FALSE)))</f>
        <v/>
      </c>
      <c r="AT135" s="701" t="str">
        <f t="shared" ca="1" si="32"/>
        <v>??</v>
      </c>
      <c r="AU135" s="700" t="str">
        <f ca="1">IF(AV135=$AR$11,$AQ$11,IF(AV135=$AR$12,$AQ$12,VLOOKUP(AV135,Voorblad!$X$67:$Z$98,2,FALSE)))</f>
        <v/>
      </c>
      <c r="AV135" s="701" t="str">
        <f t="shared" ca="1" si="33"/>
        <v>??</v>
      </c>
      <c r="AW135" s="705" t="str">
        <f ca="1">IF(AX135=$AR$11,$AQ$11,IF(AX135=$AR$12,$AQ$12,VLOOKUP(AX135,Voorblad!$X$67:$Z$98,2,FALSE)))</f>
        <v/>
      </c>
      <c r="AX135" s="706" t="str">
        <f t="shared" ca="1" si="34"/>
        <v>??</v>
      </c>
      <c r="AY135" s="705" t="str">
        <f ca="1">IF(AZ135=$AR$11,$AQ$11,IF(AZ135=$AR$12,$AQ$12,VLOOKUP(AZ135,Voorblad!$X$67:$Z$98,2,FALSE)))</f>
        <v/>
      </c>
      <c r="AZ135" s="706" t="str">
        <f t="shared" ca="1" si="35"/>
        <v>??</v>
      </c>
      <c r="BA135" s="708">
        <f t="shared" si="37"/>
        <v>58</v>
      </c>
    </row>
    <row r="136" spans="28:53" x14ac:dyDescent="0.25">
      <c r="AB136" s="419"/>
      <c r="AC136" s="494"/>
      <c r="AD136" s="419"/>
      <c r="AE136" s="419"/>
      <c r="AF136" s="748"/>
      <c r="AG136" s="419"/>
      <c r="AH136" s="419"/>
      <c r="AI136" s="494"/>
      <c r="AJ136" s="419"/>
      <c r="AK136" s="419"/>
      <c r="AL136" s="748"/>
      <c r="AM136" s="494"/>
      <c r="AN136" s="419"/>
      <c r="AO136" s="419"/>
      <c r="AP136" s="419"/>
      <c r="AQ136" s="724" t="str">
        <f ca="1">IF(AR136=$AR$11,$AQ$11,IF(AR136=$AR$12,$AQ$12,VLOOKUP(AR136,Voorblad!$X$67:$Z$98,2,FALSE)))</f>
        <v/>
      </c>
      <c r="AR136" s="725" t="str">
        <f t="shared" ca="1" si="31"/>
        <v>??</v>
      </c>
      <c r="AS136" s="700" t="str">
        <f ca="1">IF(AT136=$AR$11,$AQ$11,IF(AT136=$AR$12,$AQ$12,VLOOKUP(AT136,Voorblad!$X$67:$Z$98,2,FALSE)))</f>
        <v/>
      </c>
      <c r="AT136" s="701" t="str">
        <f t="shared" ca="1" si="32"/>
        <v>??</v>
      </c>
      <c r="AU136" s="700" t="str">
        <f ca="1">IF(AV136=$AR$11,$AQ$11,IF(AV136=$AR$12,$AQ$12,VLOOKUP(AV136,Voorblad!$X$67:$Z$98,2,FALSE)))</f>
        <v/>
      </c>
      <c r="AV136" s="701" t="str">
        <f t="shared" ca="1" si="33"/>
        <v>??</v>
      </c>
      <c r="AW136" s="705" t="str">
        <f ca="1">IF(AX136=$AR$11,$AQ$11,IF(AX136=$AR$12,$AQ$12,VLOOKUP(AX136,Voorblad!$X$67:$Z$98,2,FALSE)))</f>
        <v/>
      </c>
      <c r="AX136" s="706" t="str">
        <f t="shared" ca="1" si="34"/>
        <v>??</v>
      </c>
      <c r="AY136" s="705" t="str">
        <f ca="1">IF(AZ136=$AR$11,$AQ$11,IF(AZ136=$AR$12,$AQ$12,VLOOKUP(AZ136,Voorblad!$X$67:$Z$98,2,FALSE)))</f>
        <v/>
      </c>
      <c r="AZ136" s="706" t="str">
        <f t="shared" ca="1" si="35"/>
        <v>??</v>
      </c>
      <c r="BA136" s="708">
        <f t="shared" si="37"/>
        <v>60</v>
      </c>
    </row>
    <row r="137" spans="28:53" x14ac:dyDescent="0.25">
      <c r="AB137" s="495"/>
      <c r="AC137" s="496"/>
      <c r="AD137" s="419"/>
      <c r="AE137" s="495"/>
      <c r="AF137" s="748"/>
      <c r="AG137" s="419"/>
      <c r="AH137" s="495"/>
      <c r="AI137" s="496"/>
      <c r="AJ137" s="419"/>
      <c r="AK137" s="495"/>
      <c r="AL137" s="748"/>
      <c r="AM137" s="494"/>
      <c r="AN137" s="495"/>
      <c r="AO137" s="495"/>
      <c r="AP137" s="495"/>
      <c r="AQ137" s="724" t="str">
        <f ca="1">IF(AR137=$AR$11,$AQ$11,IF(AR137=$AR$12,$AQ$12,VLOOKUP(AR137,Voorblad!$X$67:$Z$98,2,FALSE)))</f>
        <v/>
      </c>
      <c r="AR137" s="725" t="str">
        <f t="shared" ca="1" si="31"/>
        <v>??</v>
      </c>
      <c r="AS137" s="700" t="str">
        <f ca="1">IF(AT137=$AR$11,$AQ$11,IF(AT137=$AR$12,$AQ$12,VLOOKUP(AT137,Voorblad!$X$67:$Z$98,2,FALSE)))</f>
        <v/>
      </c>
      <c r="AT137" s="701" t="str">
        <f t="shared" ca="1" si="32"/>
        <v>??</v>
      </c>
      <c r="AU137" s="700" t="str">
        <f ca="1">IF(AV137=$AR$11,$AQ$11,IF(AV137=$AR$12,$AQ$12,VLOOKUP(AV137,Voorblad!$X$67:$Z$98,2,FALSE)))</f>
        <v/>
      </c>
      <c r="AV137" s="701" t="str">
        <f t="shared" ca="1" si="33"/>
        <v>??</v>
      </c>
      <c r="AW137" s="705" t="str">
        <f ca="1">IF(AX137=$AR$11,$AQ$11,IF(AX137=$AR$12,$AQ$12,VLOOKUP(AX137,Voorblad!$X$67:$Z$98,2,FALSE)))</f>
        <v/>
      </c>
      <c r="AX137" s="706" t="str">
        <f t="shared" ca="1" si="34"/>
        <v>??</v>
      </c>
      <c r="AY137" s="705" t="str">
        <f ca="1">IF(AZ137=$AR$11,$AQ$11,IF(AZ137=$AR$12,$AQ$12,VLOOKUP(AZ137,Voorblad!$X$67:$Z$98,2,FALSE)))</f>
        <v/>
      </c>
      <c r="AZ137" s="706" t="str">
        <f t="shared" ca="1" si="35"/>
        <v>??</v>
      </c>
      <c r="BA137" s="708">
        <f t="shared" si="37"/>
        <v>62</v>
      </c>
    </row>
    <row r="138" spans="28:53" ht="15" customHeight="1" x14ac:dyDescent="0.25">
      <c r="AB138" s="845" t="s">
        <v>95</v>
      </c>
      <c r="AC138" s="492" t="str">
        <f>Taal04!$C$131</f>
        <v>Van de zes groepswinnaars weten er minimaal vijf de achtste finales te overleven en zo ook de kwartfinales te bereiken.</v>
      </c>
      <c r="AD138" s="493"/>
      <c r="AE138" s="493"/>
      <c r="AF138" s="493"/>
      <c r="AG138" s="493"/>
      <c r="AH138" s="493"/>
      <c r="AI138" s="493"/>
      <c r="AJ138" s="493"/>
      <c r="AK138" s="493"/>
      <c r="AL138" s="493"/>
      <c r="AM138" s="493"/>
      <c r="AN138" s="493"/>
      <c r="AO138" s="493"/>
      <c r="AP138" s="756"/>
      <c r="AQ138" s="844" t="str">
        <f ca="1">IF(AR138=$AR$11,$AQ$11,IF(AR138=$AR$12,$AQ$12,VLOOKUP(AR138,Voorblad!$X$67:$Z$98,2,FALSE)))</f>
        <v/>
      </c>
      <c r="AR138" s="725" t="str">
        <f t="shared" ca="1" si="31"/>
        <v>??</v>
      </c>
      <c r="AS138" s="700" t="str">
        <f ca="1">IF(AT138=$AR$11,$AQ$11,IF(AT138=$AR$12,$AQ$12,VLOOKUP(AT138,Voorblad!$X$67:$Z$98,2,FALSE)))</f>
        <v/>
      </c>
      <c r="AT138" s="701" t="str">
        <f t="shared" ca="1" si="32"/>
        <v>??</v>
      </c>
      <c r="AU138" s="700" t="str">
        <f ca="1">IF(AV138=$AR$11,$AQ$11,IF(AV138=$AR$12,$AQ$12,VLOOKUP(AV138,Voorblad!$X$67:$Z$98,2,FALSE)))</f>
        <v/>
      </c>
      <c r="AV138" s="701" t="str">
        <f t="shared" ca="1" si="33"/>
        <v>??</v>
      </c>
      <c r="AW138" s="705" t="str">
        <f ca="1">IF(AX138=$AR$11,$AQ$11,IF(AX138=$AR$12,$AQ$12,VLOOKUP(AX138,Voorblad!$X$67:$Z$98,2,FALSE)))</f>
        <v/>
      </c>
      <c r="AX138" s="706" t="str">
        <f t="shared" ca="1" si="34"/>
        <v>??</v>
      </c>
      <c r="AY138" s="705" t="str">
        <f ca="1">IF(AZ138=$AR$11,$AQ$11,IF(AZ138=$AR$12,$AQ$12,VLOOKUP(AZ138,Voorblad!$X$67:$Z$98,2,FALSE)))</f>
        <v/>
      </c>
      <c r="AZ138" s="706" t="str">
        <f t="shared" ca="1" si="35"/>
        <v>??</v>
      </c>
      <c r="BA138" s="708">
        <f t="shared" si="37"/>
        <v>64</v>
      </c>
    </row>
    <row r="139" spans="28:53" ht="15" customHeight="1" x14ac:dyDescent="0.25">
      <c r="AB139" s="846"/>
      <c r="AC139" s="494" t="s">
        <v>436</v>
      </c>
      <c r="AD139" s="419"/>
      <c r="AE139" s="419" t="s">
        <v>69</v>
      </c>
      <c r="AF139" s="494" t="str">
        <f>IF($AG$71=1,$AC$70,"HUIDIG BLAD")</f>
        <v>EINDSTAND GROEP VOORSPELLEN</v>
      </c>
      <c r="AG139" s="419"/>
      <c r="AH139" s="419"/>
      <c r="AI139" s="419"/>
      <c r="AJ139" s="419"/>
      <c r="AK139" s="419"/>
      <c r="AL139" s="419"/>
      <c r="AM139" s="419"/>
      <c r="AN139" s="419"/>
      <c r="AO139" s="419"/>
      <c r="AP139" s="749"/>
      <c r="AQ139" s="844" t="str">
        <f ca="1">IF(AR139=$AR$11,$AQ$11,IF(AR139=$AR$12,$AQ$12,VLOOKUP(AR139,Voorblad!$X$67:$Z$98,2,FALSE)))</f>
        <v/>
      </c>
      <c r="AR139" s="725" t="str">
        <f t="shared" ca="1" si="31"/>
        <v>??</v>
      </c>
      <c r="AS139" s="700" t="str">
        <f ca="1">IF(AT139=$AR$11,$AQ$11,IF(AT139=$AR$12,$AQ$12,VLOOKUP(AT139,Voorblad!$X$67:$Z$98,2,FALSE)))</f>
        <v/>
      </c>
      <c r="AT139" s="701" t="str">
        <f t="shared" ca="1" si="32"/>
        <v>??</v>
      </c>
      <c r="AU139" s="700" t="str">
        <f ca="1">IF(AV139=$AR$11,$AQ$11,IF(AV139=$AR$12,$AQ$12,VLOOKUP(AV139,Voorblad!$X$67:$Z$98,2,FALSE)))</f>
        <v/>
      </c>
      <c r="AV139" s="701" t="str">
        <f t="shared" ca="1" si="33"/>
        <v>??</v>
      </c>
      <c r="AW139" s="705" t="str">
        <f ca="1">IF(AX139=$AR$11,$AQ$11,IF(AX139=$AR$12,$AQ$12,VLOOKUP(AX139,Voorblad!$X$67:$Z$98,2,FALSE)))</f>
        <v/>
      </c>
      <c r="AX139" s="706" t="str">
        <f t="shared" ca="1" si="34"/>
        <v>??</v>
      </c>
      <c r="AY139" s="705" t="str">
        <f ca="1">IF(AZ139=$AR$11,$AQ$11,IF(AZ139=$AR$12,$AQ$12,VLOOKUP(AZ139,Voorblad!$X$67:$Z$98,2,FALSE)))</f>
        <v/>
      </c>
      <c r="AZ139" s="706" t="str">
        <f t="shared" ca="1" si="35"/>
        <v>??</v>
      </c>
      <c r="BA139" s="708">
        <f t="shared" si="37"/>
        <v>66</v>
      </c>
    </row>
    <row r="140" spans="28:53" ht="15" customHeight="1" x14ac:dyDescent="0.25">
      <c r="AB140" s="846" t="s">
        <v>100</v>
      </c>
      <c r="AC140" s="494" t="str">
        <f>IF($AF$139="HUIDIG BLAD","wed. 37t","nr.1 grp A")</f>
        <v>nr.1 grp A</v>
      </c>
      <c r="AD140" s="419" t="s">
        <v>69</v>
      </c>
      <c r="AE140" s="419" t="str">
        <f ca="1">IF($AF$139="HUIDIG BLAD",IF($AK$16="GOED",$AD$16,$AK$16),IF('Eindstand Groep'!$Y$15="FOUT","FOUT",LEFT('Eindstand Groep'!$Y$15,2)))</f>
        <v>DE</v>
      </c>
      <c r="AF140" s="419"/>
      <c r="AG140" s="419" t="s">
        <v>424</v>
      </c>
      <c r="AH140" s="494" t="s">
        <v>2439</v>
      </c>
      <c r="AI140" s="419"/>
      <c r="AJ140" s="419" t="s">
        <v>69</v>
      </c>
      <c r="AK140" s="419" t="str">
        <f ca="1">IF($AK$38="GOED",$AD$38,$AK$38)</f>
        <v>PT</v>
      </c>
      <c r="AL140" s="748" t="s">
        <v>381</v>
      </c>
      <c r="AM140" s="494" t="str">
        <f ca="1">IF(OR(AE140="LEEG",AE140="FOUT",AE140="ONGELDIG",AK140="LEEG",AK140="FOUT",AK140="ONGELDIG"),"onvoldoende gegevens",IF(AE140=AK140,"JA","NEE"))</f>
        <v>NEE</v>
      </c>
      <c r="AN140" s="419"/>
      <c r="AO140" s="498" t="s">
        <v>460</v>
      </c>
      <c r="AP140" s="757">
        <f ca="1">COUNTIF(AM140:AM147,"onvoldoende gegevens")</f>
        <v>0</v>
      </c>
      <c r="AQ140" s="1249" t="s">
        <v>314</v>
      </c>
      <c r="AR140" s="1249"/>
      <c r="AS140" s="1249"/>
      <c r="AT140" s="1249"/>
      <c r="AU140" s="1249"/>
      <c r="AV140" s="1249"/>
      <c r="AW140" s="1249"/>
      <c r="AX140" s="1249"/>
      <c r="AY140" s="745"/>
      <c r="AZ140" s="745"/>
      <c r="BA140" s="745"/>
    </row>
    <row r="141" spans="28:53" ht="15" customHeight="1" x14ac:dyDescent="0.25">
      <c r="AB141" s="846" t="s">
        <v>1871</v>
      </c>
      <c r="AC141" s="494" t="str">
        <f>IF($AF$139="HUIDIG BLAD","wed. 40t","nr.1 grp C")</f>
        <v>nr.1 grp C</v>
      </c>
      <c r="AD141" s="419" t="s">
        <v>69</v>
      </c>
      <c r="AE141" s="419" t="str">
        <f ca="1">IF($AF$139="HUIDIG BLAD",IF($AK$18="GOED",$AD$18,$AK$18),IF('Eindstand Groep'!$Y$25="FOUT","FOUT",LEFT('Eindstand Groep'!$Y$25,2)))</f>
        <v>GB</v>
      </c>
      <c r="AF141" s="419"/>
      <c r="AG141" s="419" t="s">
        <v>424</v>
      </c>
      <c r="AH141" s="494" t="s">
        <v>2440</v>
      </c>
      <c r="AI141" s="419"/>
      <c r="AJ141" s="419" t="s">
        <v>69</v>
      </c>
      <c r="AK141" s="419" t="str">
        <f ca="1">IF($AK$42="GOED",$AD$42,$AK$42)</f>
        <v>BE</v>
      </c>
      <c r="AL141" s="748" t="s">
        <v>381</v>
      </c>
      <c r="AM141" s="494" t="str">
        <f t="shared" ref="AM141:AM147" ca="1" si="39">IF(OR(AE141="LEEG",AE141="FOUT",AE141="ONGELDIG",AK141="LEEG",AK141="FOUT",AK141="ONGELDIG"),"onvoldoende gegevens",IF(AE141=AK141,"JA","NEE"))</f>
        <v>NEE</v>
      </c>
      <c r="AN141" s="419"/>
      <c r="AO141" s="498" t="s">
        <v>461</v>
      </c>
      <c r="AP141" s="757">
        <f ca="1">COUNTIF(AM140:AM147,"JA")</f>
        <v>0</v>
      </c>
      <c r="AQ141" s="1250"/>
      <c r="AR141" s="1250"/>
      <c r="AS141" s="1250"/>
      <c r="AT141" s="1250"/>
      <c r="AU141" s="1250"/>
      <c r="AV141" s="1250"/>
      <c r="AW141" s="1250"/>
      <c r="AX141" s="1250"/>
      <c r="AY141" s="284" t="s">
        <v>141</v>
      </c>
      <c r="AZ141" s="284" t="s">
        <v>70</v>
      </c>
      <c r="BA141" s="284" t="s">
        <v>12</v>
      </c>
    </row>
    <row r="142" spans="28:53" x14ac:dyDescent="0.25">
      <c r="AB142" s="846" t="s">
        <v>1873</v>
      </c>
      <c r="AC142" s="494" t="str">
        <f>IF($AF$139="HUIDIG BLAD","wed. 39t","nr.1 grp B")</f>
        <v>nr.1 grp B</v>
      </c>
      <c r="AD142" s="419" t="s">
        <v>69</v>
      </c>
      <c r="AE142" s="419" t="str">
        <f ca="1">IF($AF$139="HUIDIG BLAD",IF($AK$20="GOED",$AD$20,$AK$20),IF('Eindstand Groep'!$Z$15="FOUT","FOUT",LEFT('Eindstand Groep'!$Z$15,2)))</f>
        <v>ES</v>
      </c>
      <c r="AF142" s="419"/>
      <c r="AG142" s="419" t="s">
        <v>424</v>
      </c>
      <c r="AH142" s="494" t="s">
        <v>2442</v>
      </c>
      <c r="AI142" s="419"/>
      <c r="AJ142" s="419" t="s">
        <v>69</v>
      </c>
      <c r="AK142" s="419" t="str">
        <f ca="1">IF($AK$38="GOED",$AF$38,$AK$38)</f>
        <v>NL</v>
      </c>
      <c r="AL142" s="748" t="s">
        <v>381</v>
      </c>
      <c r="AM142" s="494" t="str">
        <f t="shared" ca="1" si="39"/>
        <v>NEE</v>
      </c>
      <c r="AN142" s="419"/>
      <c r="AO142" s="498" t="s">
        <v>1055</v>
      </c>
      <c r="AP142" s="757">
        <v>5</v>
      </c>
      <c r="AQ142" s="1250"/>
      <c r="AR142" s="1250"/>
      <c r="AS142" s="1250"/>
      <c r="AT142" s="1250"/>
      <c r="AU142" s="1250"/>
      <c r="AV142" s="1250"/>
      <c r="AW142" s="1250"/>
      <c r="AX142" s="1250"/>
      <c r="AY142" s="285" t="str">
        <f>Voorblad!Z67</f>
        <v>DE</v>
      </c>
      <c r="AZ142" s="285">
        <f t="shared" ref="AZ142:AZ173" ca="1" si="40">IF(AND($AD$14=$AY142,$AP$14=7),$W$14,0)+IF(AND($AF$14=$AY142,$AP$14=7),$Y$14,0)+IF(AND($AD$16=$AY142,$AP$16=7),$W$16,0)+IF(AND($AF$16=$AY142,$AP$16=7),$Y$16,0)+IF(AND($AD$18=$AY142,$AP$18=7),$W$18,0)+IF(AND($AF$18=$AY142,$AP$18=7),$Y$18,0)+IF(AND($AD$20=$AY142,$AP$20=7),$W$20,0)+IF(AND($AF$20=$AY142,$AP$20=7),$Y$20,0)+IF(AND($AD$22=$AY142,$AP$22=7),$W$22,0)+IF(AND($AF$22=$AY142,$AP$22=7),$Y$22,0)+IF(AND($AD$24=$AY142,$AP$24=7),$W$24,0)+IF(AND($AF$24=$AY142,$AP$24=7),$Y$24,0)+IF(AND($AD$26=$AY142,$AP$26=7),$W$26,0)+IF(AND($AF$26=$AY142,$AP$26=7),$Y$26,0)+IF(AND($AD$28=$AY142,$AP$28=7),$W$28,0)+IF(AND($AF$28=$AY142,$AP$28=7),$Y$28,0)+IF(AND($AD$36=$AY142,$AP$36=7),$W$36,0)+IF(AND($AF$36=$AY142,$AP$36=7),$Y$36,0)+IF(AND($AD$38=$AY142,$AP$38=7),$W$38,0)+IF(AND($AF$38=$AY142,$AP$38=7),$Y$38,0)+IF(AND($AD$40=$AY142,$AP$40=7),$W$40,0)+IF(AND($AF$40=$AY142,$AP$40=7),$Y$40,0)+IF(AND($AD$42=$AY142,$AP$42=7),$W$42,0)+IF(AND($AF$42=$AY142,$AP$42=7),$Y$42,0)+IF(AND($AD$46=$AY142,$AP$46=7),$W$46,0)+IF(AND($AF$46=$AY142,$AP$46=7),$Y$46,0)+IF(AND($AD$48=$AY142,$AP$48=7),$W$48,0)+IF(AND($AF$48=$AY142,$AP$48=7),$Y$48,0)+IF(AND($AD$52=$AY142,$AP$52=7),$W$52,0)+IF(AND($AF$52=$AY142,$AP$52=7),$Y$52,0)+IF(AND($AD$56=$AY142,$AP$56=7),$W$56,0)+IF(AND($AF$56=$AY142,$AP$56=7),$Y$56,0)</f>
        <v>6</v>
      </c>
      <c r="BA142" s="285">
        <f t="shared" ref="BA142:BA173" ca="1" si="41">IF(AND($AD$14=$AY142,$AP$14=7),$Y$14,0)+IF(AND($AF$14=$AY142,$AP$14=7),$W$14,0)+IF(AND($AD$16=$AY142,$AP$16=7),$Y$16,0)+IF(AND($AF$16=$AY142,$AP$16=7),$W$16,0)+IF(AND($AD$18=$AY142,$AP$18=7),$Y$18,0)+IF(AND($AF$18=$AY142,$AP$18=7),$W$18,0)+IF(AND($AD$20=$AY142,$AP$20=7),$Y$20,0)+IF(AND($AF$20=$AY142,$AP$20=7),$W$20,0)+IF(AND($AD$22=$AY142,$AP$22=7),$Y$22,0)+IF(AND($AF$22=$AY142,$AP$22=7),$W$22,0)+IF(AND($AD$24=$AY142,$AP$24=7),$Y$24,0)+IF(AND($AF$24=$AY142,$AP$24=7),$W$24,0)+IF(AND($AD$26=$AY142,$AP$26=7),$Y$26,0)+IF(AND($AF$26=$AY142,$AP$26=7),$W$26,0)+IF(AND($AD$28=$AY142,$AP$28=7),$Y$28,0)+IF(AND($AF$28=$AY142,$AP$28=7),$W$28,0)+IF(AND($AD$36=$AY142,$AP$36=7),$Y$36,0)+IF(AND($AF$36=$AY142,$AP$36=7),$W$36,0)+IF(AND($AD$38=$AY142,$AP$38=7),$Y$38,0)+IF(AND($AF$38=$AY142,$AP$38=7),$W$38,0)+IF(AND($AD$40=$AY142,$AP$40=7),$Y$40,0)+IF(AND($AF$40=$AY142,$AP$40=7),$W$40,0)+IF(AND($AD$42=$AY142,$AP$42=7),$Y$42,0)+IF(AND($AF$42=$AY142,$AP$42=7),$W$42,0)+IF(AND($AD$46=$AY142,$AP$46=7),$Y$46,0)+IF(AND($AF$46=$AY142,$AP$46=7),$W$46,0)+IF(AND($AD$48=$AY142,$AP$48=7),$Y$48,0)+IF(AND($AF$48=$AY142,$AP$48=7),$W$48,0)+IF(AND($AD$52=$AY142,$AP$52=7),$Y$52,0)+IF(AND($AF$52=$AY142,$AP$52=7),$W$52,0)+IF(AND($AD$56=$AY142,$AP$56=7),$Y$56,0)+IF(AND($AF$56=$AY142,$AP$56=7),$W$56,0)</f>
        <v>4</v>
      </c>
    </row>
    <row r="143" spans="28:53" x14ac:dyDescent="0.25">
      <c r="AB143" s="846" t="s">
        <v>1876</v>
      </c>
      <c r="AC143" s="494" t="str">
        <f>IF($AF$139="HUIDIG BLAD","wed. 41t","nr.1 grp F")</f>
        <v>nr.1 grp F</v>
      </c>
      <c r="AD143" s="419" t="s">
        <v>69</v>
      </c>
      <c r="AE143" s="419" t="str">
        <f ca="1">IF($AF$139="HUIDIG BLAD",IF($AK$24="GOED",$AD$24,$AK$24),IF('Eindstand Groep'!$Z$35="FOUT","FOUT",LEFT('Eindstand Groep'!$Z$35,2)))</f>
        <v>PT</v>
      </c>
      <c r="AF143" s="419"/>
      <c r="AG143" s="419" t="s">
        <v>424</v>
      </c>
      <c r="AH143" s="494" t="s">
        <v>2443</v>
      </c>
      <c r="AI143" s="419"/>
      <c r="AJ143" s="419" t="s">
        <v>69</v>
      </c>
      <c r="AK143" s="419" t="str">
        <f ca="1">IF($AL$42="GOED",$AF$42,$AL$42)</f>
        <v>FR</v>
      </c>
      <c r="AL143" s="748" t="s">
        <v>381</v>
      </c>
      <c r="AM143" s="494" t="str">
        <f t="shared" ca="1" si="39"/>
        <v>NEE</v>
      </c>
      <c r="AN143" s="419"/>
      <c r="AO143" s="498" t="s">
        <v>462</v>
      </c>
      <c r="AP143" s="757">
        <f ca="1">COUNTIF(AM140:AM147,"NEE")</f>
        <v>8</v>
      </c>
      <c r="AQ143" s="500" t="s">
        <v>319</v>
      </c>
      <c r="AR143" s="742">
        <f ca="1">IF(AP14=7,IF(W14=Y14,0,1),0)+IF(AP16=7,IF(W16=Y16,0,1),0)+IF(AP18=7,IF(W18=Y18,0,1),0)+IF(AP20=7,IF(W20=Y20,0,1),0)+IF(AP22=7,IF(W22=Y22,0,1),0)+IF(AP24=7,IF(W24=Y24,0,1),0)+IF(AP26=7,IF(W26=Y26,0,1),0)+IF(AP28=7,IF(W28=Y28,0,1),0)+IF(AP36=7,IF(W36=Y36,0,1),0)+IF(AP38=7,IF(W38=Y38,0,1),0)+IF(AP40=7,IF(W40=Y40,0,1),0)+IF(AP42=7,IF(W42=Y42,0,1),0)+IF(AP46=7,IF(W46=Y46,0,1),0)+IF(AP48=7,IF(W48=Y48,0,1),0)+IF(AP52=7,IF(W52=Y52,0,1),0)+IF(AP56=7,IF(W56=Y56,0,1),0)</f>
        <v>11</v>
      </c>
      <c r="AS143" s="1190" t="s">
        <v>1908</v>
      </c>
      <c r="AT143" s="1190"/>
      <c r="AU143" s="1190"/>
      <c r="AV143" s="1190"/>
      <c r="AW143" s="1190"/>
      <c r="AX143" s="1190"/>
      <c r="AY143" s="285" t="str">
        <f>Voorblad!Z68</f>
        <v>SC</v>
      </c>
      <c r="AZ143" s="285">
        <f t="shared" ca="1" si="40"/>
        <v>0</v>
      </c>
      <c r="BA143" s="285">
        <f t="shared" ca="1" si="41"/>
        <v>0</v>
      </c>
    </row>
    <row r="144" spans="28:53" x14ac:dyDescent="0.25">
      <c r="AB144" s="846" t="s">
        <v>1872</v>
      </c>
      <c r="AC144" s="494" t="str">
        <f>IF($AF$139="HUIDIG BLAD","wed. 26t","nr.1 grp D")</f>
        <v>nr.1 grp D</v>
      </c>
      <c r="AD144" s="419" t="s">
        <v>69</v>
      </c>
      <c r="AE144" s="419" t="str">
        <f ca="1">IF($AF$139="HUIDIG BLAD",IF($AK$26="GOED",$AD$26,$AK$26),IF('Eindstand Groep'!$Z$25="FOUT","FOUT",LEFT('Eindstand Groep'!$Z$25,2)))</f>
        <v>FR</v>
      </c>
      <c r="AF144" s="419"/>
      <c r="AG144" s="419" t="s">
        <v>424</v>
      </c>
      <c r="AH144" s="494" t="s">
        <v>2444</v>
      </c>
      <c r="AI144" s="419"/>
      <c r="AJ144" s="419" t="s">
        <v>69</v>
      </c>
      <c r="AK144" s="419" t="str">
        <f ca="1">IF($AK$36="GOED",$AD$36,$AK$36)</f>
        <v>ES</v>
      </c>
      <c r="AL144" s="748" t="s">
        <v>381</v>
      </c>
      <c r="AM144" s="494" t="str">
        <f t="shared" ca="1" si="39"/>
        <v>NEE</v>
      </c>
      <c r="AN144" s="748" t="s">
        <v>381</v>
      </c>
      <c r="AO144" s="497" t="str">
        <f ca="1">IF(AP141&gt;=AP142,"JA",IF(AP140&gt;0,"onvoldoende gegevens","NEE"))</f>
        <v>NEE</v>
      </c>
      <c r="AP144" s="749"/>
      <c r="AQ144" s="500" t="s">
        <v>320</v>
      </c>
      <c r="AR144" s="742">
        <f ca="1">IF(AP14=7,IF(W14=Y14,1,0),0)+IF(AP16=7,IF(W16=Y16,1,0),0)+IF(AP18=7,IF(W18=Y18,1,0),0)+IF(AP20=7,IF(W20=Y20,1,0),0)+IF(AP22=7,IF(W22=Y22,1,0),0)+IF(AP24=7,IF(W24=Y24,1,0),0)+IF(AP26=7,IF(W26=Y26,1,0),0)+IF(AP28=7,IF(W28=Y28,1,0),0)+IF(AP36=7,IF(W36=Y36,1,0),0)+IF(AP38=7,IF(W38=Y38,1,0),0)+IF(AP40=7,IF(W40=Y40,1,0),0)+IF(AP42=7,IF(W42=Y42,1,0),0)+IF(AP46=7,IF(W46=Y46,1,0),0)+IF(AP48=7,IF(W48=Y48,1,0),0)+IF(AP52=7,IF(W52=Y52,1,0),0)+IF(AP56=7,IF(W56=Y56,1,0),0)</f>
        <v>4</v>
      </c>
      <c r="AS144" s="265"/>
      <c r="AT144" s="72"/>
      <c r="AU144" s="1191">
        <f>LARGE(AB14:AB56,1)</f>
        <v>4</v>
      </c>
      <c r="AV144" s="1191"/>
      <c r="AW144" s="265"/>
      <c r="AX144" s="72"/>
      <c r="AY144" s="285" t="str">
        <f>Voorblad!Z69</f>
        <v>HU</v>
      </c>
      <c r="AZ144" s="285">
        <f t="shared" ca="1" si="40"/>
        <v>0</v>
      </c>
      <c r="BA144" s="285">
        <f t="shared" ca="1" si="41"/>
        <v>0</v>
      </c>
    </row>
    <row r="145" spans="26:53" x14ac:dyDescent="0.25">
      <c r="AB145" s="846" t="s">
        <v>1874</v>
      </c>
      <c r="AC145" s="494" t="str">
        <f>IF($AF$139="HUIDIG BLAD","wed. 28t","nr.1 grp E")</f>
        <v>nr.1 grp E</v>
      </c>
      <c r="AD145" s="419" t="s">
        <v>69</v>
      </c>
      <c r="AE145" s="419" t="str">
        <f ca="1">IF($AF$139="HUIDIG BLAD",IF($AK$28="GOED",$AD$28,$AK$28),IF('Eindstand Groep'!$Y$35="FOUT","FOUT",LEFT('Eindstand Groep'!$Y$35,2)))</f>
        <v>BE</v>
      </c>
      <c r="AF145" s="419"/>
      <c r="AG145" s="419" t="s">
        <v>424</v>
      </c>
      <c r="AH145" s="494" t="s">
        <v>2445</v>
      </c>
      <c r="AI145" s="419"/>
      <c r="AJ145" s="419" t="s">
        <v>69</v>
      </c>
      <c r="AK145" s="419" t="str">
        <f ca="1">IF($AK$40="GOED",$AD$40,$AK$40)</f>
        <v>GB</v>
      </c>
      <c r="AL145" s="748" t="s">
        <v>381</v>
      </c>
      <c r="AM145" s="494" t="str">
        <f t="shared" ca="1" si="39"/>
        <v>NEE</v>
      </c>
      <c r="AN145" s="419"/>
      <c r="AO145" s="419"/>
      <c r="AP145" s="749"/>
      <c r="AQ145" s="265"/>
      <c r="AR145" s="718"/>
      <c r="AS145" s="265"/>
      <c r="AT145" s="72"/>
      <c r="AU145" s="265"/>
      <c r="AV145" s="718"/>
      <c r="AW145" s="265"/>
      <c r="AX145" s="72"/>
      <c r="AY145" s="285" t="str">
        <f>Voorblad!Z70</f>
        <v>CH</v>
      </c>
      <c r="AZ145" s="285">
        <f t="shared" ca="1" si="40"/>
        <v>1</v>
      </c>
      <c r="BA145" s="285">
        <f t="shared" ca="1" si="41"/>
        <v>2</v>
      </c>
    </row>
    <row r="146" spans="26:53" ht="18.75" x14ac:dyDescent="0.25">
      <c r="AB146" s="846" t="s">
        <v>1875</v>
      </c>
      <c r="AC146" s="494" t="str">
        <f>IF($AF$139="HUIDIG BLAD","wed. 54t","nr.1 grp G")</f>
        <v>nr.1 grp G</v>
      </c>
      <c r="AD146" s="419" t="s">
        <v>69</v>
      </c>
      <c r="AE146" s="419" t="str">
        <f>IF(1=1,"YY",IF($AF$139="HUIDIG BLAD",IF($AK$24="GOED",$AD$24,$AK$24),IF('Eindstand Groep'!$Y$45="FOUT","FOUT",LEFT('Eindstand Groep'!$Y$45,2))))</f>
        <v>YY</v>
      </c>
      <c r="AF146" s="419"/>
      <c r="AG146" s="419" t="s">
        <v>424</v>
      </c>
      <c r="AH146" s="494" t="s">
        <v>2441</v>
      </c>
      <c r="AI146" s="419"/>
      <c r="AJ146" s="419" t="s">
        <v>69</v>
      </c>
      <c r="AK146" s="419" t="str">
        <f>IF(1=1,"ZZ",IF($AL$36="GOED",$AF$36,$AL$36))</f>
        <v>ZZ</v>
      </c>
      <c r="AL146" s="748" t="s">
        <v>381</v>
      </c>
      <c r="AM146" s="494" t="str">
        <f t="shared" si="39"/>
        <v>NEE</v>
      </c>
      <c r="AN146" s="419"/>
      <c r="AO146" s="419"/>
      <c r="AP146" s="749"/>
      <c r="AQ146" s="286">
        <v>0.125</v>
      </c>
      <c r="AR146" s="746" t="str">
        <f ca="1">"."&amp;IF(AP14=7,AD14&amp;"."&amp;AF14&amp;".","")&amp;IF(AP16=7,AD16&amp;"."&amp;AF16&amp;".","")&amp;IF(AP18=7,AD18&amp;"."&amp;AF18&amp;".","")&amp;IF(AP20=7,AD20&amp;"."&amp;AF20&amp;".","")&amp;IF(AP22=7,AD22&amp;"."&amp;AF22&amp;".","")&amp;IF(AP24=7,AD24&amp;"."&amp;AF24&amp;".","")&amp;IF(AP26=7,AD26&amp;"."&amp;AF26&amp;".","")&amp;IF(AP28=7,AD28&amp;"."&amp;AF28&amp;".","")</f>
        <v>.CH.HR.DE.DK.GB.SK.ES.AT.NL.UA.PT.IT.BE.RS.FR.TR.</v>
      </c>
      <c r="AS146" s="744"/>
      <c r="AT146" s="744"/>
      <c r="AU146" s="744"/>
      <c r="AV146" s="744"/>
      <c r="AW146" s="265"/>
      <c r="AX146" s="72"/>
      <c r="AY146" s="285" t="str">
        <f>Voorblad!Z71</f>
        <v>ES</v>
      </c>
      <c r="AZ146" s="285">
        <f t="shared" ca="1" si="40"/>
        <v>4</v>
      </c>
      <c r="BA146" s="285">
        <f t="shared" ca="1" si="41"/>
        <v>2</v>
      </c>
    </row>
    <row r="147" spans="26:53" ht="18.75" x14ac:dyDescent="0.25">
      <c r="AB147" s="847" t="s">
        <v>1877</v>
      </c>
      <c r="AC147" s="496" t="str">
        <f>IF($AF$139="HUIDIG BLAD","wed. 56t","nr.1 grp H")</f>
        <v>nr.1 grp H</v>
      </c>
      <c r="AD147" s="495" t="s">
        <v>69</v>
      </c>
      <c r="AE147" s="495" t="str">
        <f>IF(1=1,"ZZ",IF($AF$139="HUIDIG BLAD",IF($AK$28="GOED",$AD$28,$AK$28),IF('Eindstand Groep'!$Z$45="FOUT","FOUT",LEFT('Eindstand Groep'!$Z$45,2))))</f>
        <v>ZZ</v>
      </c>
      <c r="AF147" s="495"/>
      <c r="AG147" s="495" t="s">
        <v>424</v>
      </c>
      <c r="AH147" s="496" t="s">
        <v>2441</v>
      </c>
      <c r="AI147" s="495"/>
      <c r="AJ147" s="495" t="s">
        <v>69</v>
      </c>
      <c r="AK147" s="495" t="str">
        <f>IF(1=1,"YY",IF($AL$40="GOED",$AF$40,$AL$40))</f>
        <v>YY</v>
      </c>
      <c r="AL147" s="754" t="s">
        <v>381</v>
      </c>
      <c r="AM147" s="496" t="str">
        <f t="shared" si="39"/>
        <v>NEE</v>
      </c>
      <c r="AN147" s="495"/>
      <c r="AO147" s="495"/>
      <c r="AP147" s="502"/>
      <c r="AQ147" s="286">
        <v>0.25</v>
      </c>
      <c r="AR147" s="746" t="str">
        <f ca="1">"."&amp;IF(AP36=7,AD36&amp;"."&amp;AF36&amp;".","")&amp;IF(AP38=7,AD38&amp;"."&amp;AF38&amp;".","")&amp;IF(AP40=7,AD40&amp;"."&amp;AF40&amp;".","")&amp;IF(AP42=7,AD42&amp;"."&amp;AF42&amp;".","")</f>
        <v>.ES.DE.PT.NL.GB.HR.BE.FR.</v>
      </c>
      <c r="AS147" s="744"/>
      <c r="AT147" s="744"/>
      <c r="AU147" s="744"/>
      <c r="AV147" s="744"/>
      <c r="AW147" s="265"/>
      <c r="AX147" s="72"/>
      <c r="AY147" s="285" t="str">
        <f>Voorblad!Z72</f>
        <v>HR</v>
      </c>
      <c r="AZ147" s="285">
        <f t="shared" ca="1" si="40"/>
        <v>3</v>
      </c>
      <c r="BA147" s="285">
        <f t="shared" ca="1" si="41"/>
        <v>3</v>
      </c>
    </row>
    <row r="148" spans="26:53" ht="18.75" x14ac:dyDescent="0.25">
      <c r="AB148" s="491" t="s">
        <v>94</v>
      </c>
      <c r="AC148" s="492" t="str">
        <f>Taal04!$C$132</f>
        <v>Van de vijftien finale wedstrijden worden zes wedstrijden of meer beslist door een verlenging of strafschoppenserie.</v>
      </c>
      <c r="AD148" s="493"/>
      <c r="AE148" s="493"/>
      <c r="AF148" s="493"/>
      <c r="AG148" s="493"/>
      <c r="AH148" s="493"/>
      <c r="AI148" s="493"/>
      <c r="AJ148" s="493"/>
      <c r="AK148" s="493"/>
      <c r="AL148" s="493"/>
      <c r="AM148" s="493"/>
      <c r="AN148" s="493"/>
      <c r="AO148" s="498" t="s">
        <v>1057</v>
      </c>
      <c r="AP148" s="757" t="str">
        <f>IF(AND(Reglement!$Q$81=1,Reglement!$H$90=2),"JA","NEE")</f>
        <v>NEE</v>
      </c>
      <c r="AQ148" s="286">
        <v>0.5</v>
      </c>
      <c r="AR148" s="746" t="str">
        <f ca="1">"."&amp;IF(AP46=7,AD46&amp;"."&amp;AF46&amp;".","")&amp;IF(AP48=7,AD48&amp;"."&amp;AF48&amp;".","")</f>
        <v>.DE.PT.FR.GB.</v>
      </c>
      <c r="AS148" s="744"/>
      <c r="AT148" s="744"/>
      <c r="AU148" s="744"/>
      <c r="AV148" s="744"/>
      <c r="AW148" s="265"/>
      <c r="AX148" s="72"/>
      <c r="AY148" s="285" t="str">
        <f>Voorblad!Z73</f>
        <v>IT</v>
      </c>
      <c r="AZ148" s="285">
        <f t="shared" ca="1" si="40"/>
        <v>1</v>
      </c>
      <c r="BA148" s="285">
        <f t="shared" ca="1" si="41"/>
        <v>1</v>
      </c>
    </row>
    <row r="149" spans="26:53" x14ac:dyDescent="0.25">
      <c r="AB149" s="419"/>
      <c r="AC149" s="494" t="s">
        <v>438</v>
      </c>
      <c r="AD149" s="419"/>
      <c r="AE149" s="419"/>
      <c r="AF149" s="419"/>
      <c r="AG149" s="758" t="s">
        <v>69</v>
      </c>
      <c r="AH149" s="494">
        <f ca="1">AR143</f>
        <v>11</v>
      </c>
      <c r="AI149" s="494"/>
      <c r="AJ149" s="494"/>
      <c r="AK149" s="494"/>
      <c r="AL149" s="748" t="s">
        <v>381</v>
      </c>
      <c r="AM149" s="494">
        <f ca="1">IF($AP$71="GOED",AH149,"onvoldoende gegevens")</f>
        <v>11</v>
      </c>
      <c r="AN149" s="419"/>
      <c r="AO149" s="498" t="s">
        <v>1056</v>
      </c>
      <c r="AP149" s="757">
        <v>6</v>
      </c>
      <c r="AQ149" s="286" t="s">
        <v>321</v>
      </c>
      <c r="AR149" s="746" t="str">
        <f>"."&amp;IF(AP52=7,AD52&amp;"."&amp;AF52&amp;".","")</f>
        <v>.</v>
      </c>
      <c r="AS149" s="265"/>
      <c r="AT149" s="718"/>
      <c r="AU149" s="265"/>
      <c r="AV149" s="72"/>
      <c r="AW149" s="265"/>
      <c r="AX149" s="72"/>
      <c r="AY149" s="285" t="str">
        <f>Voorblad!Z74</f>
        <v>AL</v>
      </c>
      <c r="AZ149" s="285">
        <f t="shared" ca="1" si="40"/>
        <v>0</v>
      </c>
      <c r="BA149" s="285">
        <f t="shared" ca="1" si="41"/>
        <v>0</v>
      </c>
    </row>
    <row r="150" spans="26:53" x14ac:dyDescent="0.25">
      <c r="AB150" s="495"/>
      <c r="AC150" s="496" t="s">
        <v>439</v>
      </c>
      <c r="AD150" s="495"/>
      <c r="AE150" s="495"/>
      <c r="AF150" s="495"/>
      <c r="AG150" s="501" t="s">
        <v>69</v>
      </c>
      <c r="AH150" s="496">
        <f ca="1">AR144</f>
        <v>4</v>
      </c>
      <c r="AI150" s="495"/>
      <c r="AJ150" s="495"/>
      <c r="AK150" s="495"/>
      <c r="AL150" s="754" t="s">
        <v>381</v>
      </c>
      <c r="AM150" s="496">
        <f ca="1">IF($AP$71="GOED",AH150,"onvoldoende gegevens")</f>
        <v>4</v>
      </c>
      <c r="AN150" s="752" t="s">
        <v>381</v>
      </c>
      <c r="AO150" s="497" t="str">
        <f ca="1">IF(AH150&gt;=AP149,"JA",IF(OR(AM149="onvoldoende gegevens",AM150="onvoldoende gegevens"),"onvoldoende gegevens",IF(AP148="XX","geen suggestie mogelijk","NEE")))</f>
        <v>NEE</v>
      </c>
      <c r="AP150" s="502"/>
      <c r="AQ150" s="286" t="s">
        <v>168</v>
      </c>
      <c r="AR150" s="746" t="str">
        <f ca="1">"."&amp;IF(AP56=7,AD56&amp;"."&amp;AF56&amp;".","")</f>
        <v>.DE.FR.</v>
      </c>
      <c r="AS150" s="265"/>
      <c r="AT150" s="718"/>
      <c r="AU150" s="265"/>
      <c r="AV150" s="72"/>
      <c r="AW150" s="265"/>
      <c r="AX150" s="72"/>
      <c r="AY150" s="285" t="str">
        <f>Voorblad!Z75</f>
        <v>SI</v>
      </c>
      <c r="AZ150" s="285">
        <f t="shared" ca="1" si="40"/>
        <v>0</v>
      </c>
      <c r="BA150" s="285">
        <f t="shared" ca="1" si="41"/>
        <v>0</v>
      </c>
    </row>
    <row r="151" spans="26:53" x14ac:dyDescent="0.25">
      <c r="AB151" s="491" t="s">
        <v>298</v>
      </c>
      <c r="AC151" s="492" t="str">
        <f>Taal04!$C$133</f>
        <v>De finale van het toernooi zal worden gespeeld door twee landen die in de groepsfase eerste van de groep zijn geworden.</v>
      </c>
      <c r="AD151" s="419"/>
      <c r="AE151" s="419"/>
      <c r="AF151" s="419"/>
      <c r="AG151" s="419"/>
      <c r="AH151" s="419"/>
      <c r="AI151" s="419"/>
      <c r="AJ151" s="419"/>
      <c r="AK151" s="419"/>
      <c r="AL151" s="419"/>
      <c r="AM151" s="419"/>
      <c r="AN151" s="419"/>
      <c r="AO151" s="498" t="s">
        <v>460</v>
      </c>
      <c r="AP151" s="757">
        <f ca="1">COUNTIF(AM153:AM154,"onvoldoende gegevens")</f>
        <v>0</v>
      </c>
      <c r="AQ151" s="500" t="s">
        <v>390</v>
      </c>
      <c r="AR151" s="746" t="str">
        <f>"."&amp;IF(AP52=7,IF(W52&gt;Y52,AD52,IF(Y52&gt;W52,AF52,AD52&amp;"."&amp;AF52))&amp;".","")</f>
        <v>.</v>
      </c>
      <c r="AS151" s="265"/>
      <c r="AT151" s="718"/>
      <c r="AU151" s="265"/>
      <c r="AV151" s="72"/>
      <c r="AW151" s="265"/>
      <c r="AX151" s="72"/>
      <c r="AY151" s="285" t="str">
        <f>Voorblad!Z76</f>
        <v>DK</v>
      </c>
      <c r="AZ151" s="285">
        <f t="shared" ca="1" si="40"/>
        <v>1</v>
      </c>
      <c r="BA151" s="285">
        <f t="shared" ca="1" si="41"/>
        <v>2</v>
      </c>
    </row>
    <row r="152" spans="26:53" x14ac:dyDescent="0.25">
      <c r="AB152" s="419"/>
      <c r="AC152" s="494" t="s">
        <v>1895</v>
      </c>
      <c r="AD152" s="419"/>
      <c r="AE152" s="419" t="s">
        <v>69</v>
      </c>
      <c r="AF152" s="494" t="str">
        <f ca="1">SUBSTITUTE("|"&amp;AE140&amp;"|"&amp;AE141&amp;"|"&amp;AE142&amp;"|"&amp;AE143&amp;"|"&amp;AE144&amp;"|"&amp;AE145&amp;"|"&amp;AE146&amp;"|"&amp;AE147&amp;"|","LEEG","XX")</f>
        <v>|DE|GB|ES|PT|FR|BE|YY|ZZ|</v>
      </c>
      <c r="AG152" s="419"/>
      <c r="AH152" s="419"/>
      <c r="AI152" s="419"/>
      <c r="AJ152" s="419"/>
      <c r="AK152" s="419"/>
      <c r="AL152" s="419"/>
      <c r="AM152" s="419"/>
      <c r="AN152" s="419"/>
      <c r="AO152" s="498" t="s">
        <v>461</v>
      </c>
      <c r="AP152" s="757">
        <f ca="1">COUNTIF(AM153:AM154,"JA")</f>
        <v>2</v>
      </c>
      <c r="AQ152" s="500" t="s">
        <v>389</v>
      </c>
      <c r="AR152" s="746" t="str">
        <f ca="1">"."&amp;IF(AP59=3,AF59&amp;".","")</f>
        <v>.FR.</v>
      </c>
      <c r="AS152" s="265"/>
      <c r="AT152" s="718"/>
      <c r="AU152" s="265"/>
      <c r="AV152" s="72"/>
      <c r="AW152" s="265"/>
      <c r="AX152" s="72"/>
      <c r="AY152" s="285" t="str">
        <f>Voorblad!Z77</f>
        <v>RS</v>
      </c>
      <c r="AZ152" s="285">
        <f t="shared" ca="1" si="40"/>
        <v>1</v>
      </c>
      <c r="BA152" s="285">
        <f t="shared" ca="1" si="41"/>
        <v>2</v>
      </c>
    </row>
    <row r="153" spans="26:53" x14ac:dyDescent="0.25">
      <c r="AB153" s="419"/>
      <c r="AC153" s="494" t="s">
        <v>2446</v>
      </c>
      <c r="AD153" s="419"/>
      <c r="AE153" s="419" t="s">
        <v>69</v>
      </c>
      <c r="AF153" s="419" t="str">
        <f ca="1">IF($AK$56="GOED",$AD$56,$AK$56)</f>
        <v>DE</v>
      </c>
      <c r="AG153" s="419"/>
      <c r="AH153" s="419"/>
      <c r="AI153" s="419"/>
      <c r="AJ153" s="419"/>
      <c r="AK153" s="419"/>
      <c r="AL153" s="748" t="s">
        <v>381</v>
      </c>
      <c r="AM153" s="494" t="str">
        <f ca="1">IF(OR(AF153="LEEG",AF153="FOUT",AF153="ONGELDIG"),"onvoldoende gegevens",IF(SUBSTITUTE($AF$152,AF153,"##")=$AF$152,"NEE","JA"))</f>
        <v>JA</v>
      </c>
      <c r="AN153" s="419"/>
      <c r="AO153" s="498" t="s">
        <v>1055</v>
      </c>
      <c r="AP153" s="757">
        <v>2</v>
      </c>
      <c r="AQ153" s="265"/>
      <c r="AR153" s="718"/>
      <c r="AS153" s="265"/>
      <c r="AT153" s="72"/>
      <c r="AU153" s="265"/>
      <c r="AV153" s="718"/>
      <c r="AW153" s="265"/>
      <c r="AX153" s="72"/>
      <c r="AY153" s="285" t="str">
        <f>Voorblad!Z78</f>
        <v>GB</v>
      </c>
      <c r="AZ153" s="285">
        <f t="shared" ca="1" si="40"/>
        <v>5</v>
      </c>
      <c r="BA153" s="285">
        <f t="shared" ca="1" si="41"/>
        <v>3</v>
      </c>
    </row>
    <row r="154" spans="26:53" x14ac:dyDescent="0.25">
      <c r="AB154" s="419"/>
      <c r="AC154" s="494" t="s">
        <v>2447</v>
      </c>
      <c r="AD154" s="419"/>
      <c r="AE154" s="419" t="s">
        <v>69</v>
      </c>
      <c r="AF154" s="419" t="str">
        <f ca="1">IF($AL$56="GOED",$AF$56,$AL$56)</f>
        <v>FR</v>
      </c>
      <c r="AG154" s="419"/>
      <c r="AH154" s="419"/>
      <c r="AI154" s="419"/>
      <c r="AJ154" s="419"/>
      <c r="AK154" s="419"/>
      <c r="AL154" s="748" t="s">
        <v>381</v>
      </c>
      <c r="AM154" s="494" t="str">
        <f ca="1">IF(OR(AF154="LEEG",AF154="FOUT",AF154="ONGELDIG"),"onvoldoende gegevens",IF(SUBSTITUTE($AF$152,AF154,"##")=$AF$152,"NEE","JA"))</f>
        <v>JA</v>
      </c>
      <c r="AN154" s="419"/>
      <c r="AO154" s="498" t="s">
        <v>462</v>
      </c>
      <c r="AP154" s="757">
        <f ca="1">COUNTIF(AM153:AM154,"NEE")</f>
        <v>0</v>
      </c>
      <c r="AQ154" s="747" t="s">
        <v>1044</v>
      </c>
      <c r="AR154" s="718"/>
      <c r="AS154" s="265"/>
      <c r="AT154" s="72"/>
      <c r="AU154" s="265"/>
      <c r="AV154" s="718"/>
      <c r="AW154" s="265"/>
      <c r="AX154" s="72"/>
      <c r="AY154" s="285" t="str">
        <f>Voorblad!Z79</f>
        <v>PL</v>
      </c>
      <c r="AZ154" s="285">
        <f t="shared" ca="1" si="40"/>
        <v>0</v>
      </c>
      <c r="BA154" s="285">
        <f t="shared" ca="1" si="41"/>
        <v>0</v>
      </c>
    </row>
    <row r="155" spans="26:53" x14ac:dyDescent="0.25">
      <c r="Z155" s="217"/>
      <c r="AB155" s="495"/>
      <c r="AC155" s="495"/>
      <c r="AD155" s="495"/>
      <c r="AE155" s="495"/>
      <c r="AF155" s="495"/>
      <c r="AG155" s="495"/>
      <c r="AH155" s="495"/>
      <c r="AI155" s="495"/>
      <c r="AJ155" s="495"/>
      <c r="AK155" s="495"/>
      <c r="AL155" s="495"/>
      <c r="AM155" s="495"/>
      <c r="AN155" s="752" t="s">
        <v>381</v>
      </c>
      <c r="AO155" s="497" t="str">
        <f ca="1">IF(AP152&gt;=AP153,"JA",IF(AP151&gt;0,"onvoldoende gegevens","NEE"))</f>
        <v>JA</v>
      </c>
      <c r="AP155" s="502"/>
      <c r="AQ155" s="500">
        <v>1</v>
      </c>
      <c r="AR155" s="746" t="str">
        <f ca="1">AO124</f>
        <v>JA</v>
      </c>
      <c r="AS155" s="265"/>
      <c r="AT155" s="72"/>
      <c r="AU155" s="265"/>
      <c r="AV155" s="718"/>
      <c r="AW155" s="265"/>
      <c r="AX155" s="72"/>
      <c r="AY155" s="285" t="str">
        <f>Voorblad!Z80</f>
        <v>NL</v>
      </c>
      <c r="AZ155" s="285">
        <f t="shared" ca="1" si="40"/>
        <v>5</v>
      </c>
      <c r="BA155" s="285">
        <f t="shared" ca="1" si="41"/>
        <v>3</v>
      </c>
    </row>
    <row r="156" spans="26:53" x14ac:dyDescent="0.25">
      <c r="Z156" s="217"/>
      <c r="AB156" s="491">
        <v>7</v>
      </c>
      <c r="AC156" s="492" t="str">
        <f>Taal04!$C$135</f>
        <v>Het land dat zich aan het einde van het toernooi Europees kampioen mag noemen is één van de landen uit groep A, B of C.</v>
      </c>
      <c r="AD156" s="419"/>
      <c r="AE156" s="419"/>
      <c r="AF156" s="419"/>
      <c r="AG156" s="419"/>
      <c r="AH156" s="419"/>
      <c r="AI156" s="419"/>
      <c r="AJ156" s="419"/>
      <c r="AK156" s="419"/>
      <c r="AL156" s="419"/>
      <c r="AM156" s="419"/>
      <c r="AN156" s="419"/>
      <c r="AO156" s="498" t="s">
        <v>460</v>
      </c>
      <c r="AP156" s="757">
        <f ca="1">COUNTIF(AM158:AM158,"onvoldoende gegevens")</f>
        <v>0</v>
      </c>
      <c r="AQ156" s="500">
        <f>AQ155+1</f>
        <v>2</v>
      </c>
      <c r="AR156" s="746" t="str">
        <f ca="1">AO133</f>
        <v>NEE</v>
      </c>
      <c r="AS156" s="265"/>
      <c r="AT156" s="72"/>
      <c r="AU156" s="265"/>
      <c r="AV156" s="718"/>
      <c r="AW156" s="746"/>
      <c r="AX156" s="72"/>
      <c r="AY156" s="285" t="str">
        <f>Voorblad!Z81</f>
        <v>AT</v>
      </c>
      <c r="AZ156" s="285">
        <f t="shared" ca="1" si="40"/>
        <v>1</v>
      </c>
      <c r="BA156" s="285">
        <f t="shared" ca="1" si="41"/>
        <v>3</v>
      </c>
    </row>
    <row r="157" spans="26:53" x14ac:dyDescent="0.25">
      <c r="AB157" s="419"/>
      <c r="AC157" s="494" t="s">
        <v>2448</v>
      </c>
      <c r="AD157" s="419"/>
      <c r="AE157" s="419" t="s">
        <v>69</v>
      </c>
      <c r="AF157" s="494" t="str">
        <f>SUBSTITUTE("|"&amp;Voorblad!$Z$67&amp;"|"&amp;Voorblad!$Z$68&amp;"|"&amp;Voorblad!$Z$69&amp;"|"&amp;Voorblad!$Z$70&amp;"|"&amp;Voorblad!$Z$71&amp;"|"&amp;Voorblad!$Z$72&amp;"|"&amp;Voorblad!$Z$73&amp;"|"&amp;Voorblad!$Z$74&amp;"|"&amp;Voorblad!$Z$75&amp;"|"&amp;Voorblad!$Z$76&amp;"|"&amp;Voorblad!$Z$77&amp;"|"&amp;Voorblad!$Z$78&amp;"|","LEEG","XX")</f>
        <v>|DE|SC|HU|CH|ES|HR|IT|AL|SI|DK|RS|GB|</v>
      </c>
      <c r="AG157" s="419"/>
      <c r="AH157" s="419"/>
      <c r="AI157" s="419"/>
      <c r="AJ157" s="419"/>
      <c r="AK157" s="419"/>
      <c r="AL157" s="419"/>
      <c r="AM157" s="419"/>
      <c r="AN157" s="419"/>
      <c r="AO157" s="498" t="s">
        <v>461</v>
      </c>
      <c r="AP157" s="757">
        <f ca="1">COUNTIF(AM158:AM158,"JA")</f>
        <v>0</v>
      </c>
      <c r="AQ157" s="500">
        <f t="shared" ref="AQ157:AQ169" si="42">AQ156+1</f>
        <v>3</v>
      </c>
      <c r="AR157" s="746" t="str">
        <f ca="1">AO144</f>
        <v>NEE</v>
      </c>
      <c r="AS157" s="265"/>
      <c r="AT157" s="72"/>
      <c r="AU157" s="265"/>
      <c r="AV157" s="718"/>
      <c r="AW157" s="746"/>
      <c r="AX157" s="72"/>
      <c r="AY157" s="285" t="str">
        <f>Voorblad!Z82</f>
        <v>FR</v>
      </c>
      <c r="AZ157" s="285">
        <f t="shared" ca="1" si="40"/>
        <v>6</v>
      </c>
      <c r="BA157" s="285">
        <f t="shared" ca="1" si="41"/>
        <v>3</v>
      </c>
    </row>
    <row r="158" spans="26:53" x14ac:dyDescent="0.25">
      <c r="AB158" s="419"/>
      <c r="AC158" s="494" t="s">
        <v>1059</v>
      </c>
      <c r="AD158" s="419"/>
      <c r="AE158" s="419" t="s">
        <v>69</v>
      </c>
      <c r="AF158" s="419" t="str">
        <f ca="1">IF($AL$59="GOED",$AF$59,$AL$59)</f>
        <v>FR</v>
      </c>
      <c r="AG158" s="419"/>
      <c r="AH158" s="419"/>
      <c r="AI158" s="419"/>
      <c r="AJ158" s="419"/>
      <c r="AK158" s="419"/>
      <c r="AL158" s="748" t="s">
        <v>381</v>
      </c>
      <c r="AM158" s="494" t="str">
        <f ca="1">IF(OR(AF158="LEEG",AF158="FOUT",AF158="ONGELDIG"),"onvoldoende gegevens",IF(SUBSTITUTE($AF$157,AF158,"##")=$AF$157,"NEE","JA"))</f>
        <v>NEE</v>
      </c>
      <c r="AN158" s="419"/>
      <c r="AO158" s="498" t="s">
        <v>1055</v>
      </c>
      <c r="AP158" s="757">
        <v>1</v>
      </c>
      <c r="AQ158" s="500">
        <f t="shared" si="42"/>
        <v>4</v>
      </c>
      <c r="AR158" s="746" t="str">
        <f ca="1">AO150</f>
        <v>NEE</v>
      </c>
      <c r="AS158" s="265"/>
      <c r="AT158" s="72"/>
      <c r="AU158" s="265"/>
      <c r="AV158" s="718"/>
      <c r="AW158" s="746"/>
      <c r="AX158" s="72"/>
      <c r="AY158" s="285" t="str">
        <f>Voorblad!Z83</f>
        <v>BE</v>
      </c>
      <c r="AZ158" s="285">
        <f t="shared" ca="1" si="40"/>
        <v>3</v>
      </c>
      <c r="BA158" s="285">
        <f t="shared" ca="1" si="41"/>
        <v>3</v>
      </c>
    </row>
    <row r="159" spans="26:53" x14ac:dyDescent="0.25">
      <c r="AB159" s="419"/>
      <c r="AC159" s="494"/>
      <c r="AD159" s="419"/>
      <c r="AE159" s="419"/>
      <c r="AF159" s="419"/>
      <c r="AG159" s="419"/>
      <c r="AH159" s="419"/>
      <c r="AI159" s="419"/>
      <c r="AJ159" s="419"/>
      <c r="AK159" s="419"/>
      <c r="AL159" s="748"/>
      <c r="AM159" s="494"/>
      <c r="AN159" s="419"/>
      <c r="AO159" s="498" t="s">
        <v>462</v>
      </c>
      <c r="AP159" s="757">
        <f ca="1">COUNTIF(AM158:AM158,"NEE")</f>
        <v>1</v>
      </c>
      <c r="AQ159" s="500">
        <f t="shared" si="42"/>
        <v>5</v>
      </c>
      <c r="AR159" s="746" t="str">
        <f ca="1">AO155</f>
        <v>JA</v>
      </c>
      <c r="AS159" s="265"/>
      <c r="AT159" s="72"/>
      <c r="AU159" s="265"/>
      <c r="AV159" s="718"/>
      <c r="AW159" s="746"/>
      <c r="AX159" s="72"/>
      <c r="AY159" s="285" t="str">
        <f>Voorblad!Z84</f>
        <v>SK</v>
      </c>
      <c r="AZ159" s="285">
        <f t="shared" ca="1" si="40"/>
        <v>0</v>
      </c>
      <c r="BA159" s="285">
        <f t="shared" ca="1" si="41"/>
        <v>2</v>
      </c>
    </row>
    <row r="160" spans="26:53" x14ac:dyDescent="0.25">
      <c r="AB160" s="495"/>
      <c r="AC160" s="495"/>
      <c r="AD160" s="495"/>
      <c r="AE160" s="495"/>
      <c r="AF160" s="495"/>
      <c r="AG160" s="495"/>
      <c r="AH160" s="495"/>
      <c r="AI160" s="495"/>
      <c r="AJ160" s="495"/>
      <c r="AK160" s="495"/>
      <c r="AL160" s="495"/>
      <c r="AM160" s="495"/>
      <c r="AN160" s="752" t="s">
        <v>381</v>
      </c>
      <c r="AO160" s="497" t="str">
        <f ca="1">IF(AP157&gt;=AP158,"JA",IF(AP156&gt;0,"onvoldoende gegevens","NEE"))</f>
        <v>NEE</v>
      </c>
      <c r="AP160" s="502"/>
      <c r="AQ160" s="500">
        <f t="shared" si="42"/>
        <v>6</v>
      </c>
      <c r="AR160" s="746" t="str">
        <f ca="1">AO183</f>
        <v>JA</v>
      </c>
      <c r="AS160" s="265"/>
      <c r="AT160" s="72"/>
      <c r="AU160" s="265"/>
      <c r="AV160" s="718"/>
      <c r="AW160" s="746"/>
      <c r="AX160" s="72"/>
      <c r="AY160" s="285" t="str">
        <f>Voorblad!Z85</f>
        <v>RO</v>
      </c>
      <c r="AZ160" s="285">
        <f t="shared" ca="1" si="40"/>
        <v>0</v>
      </c>
      <c r="BA160" s="285">
        <f t="shared" ca="1" si="41"/>
        <v>0</v>
      </c>
    </row>
    <row r="161" spans="28:53" x14ac:dyDescent="0.25">
      <c r="AB161" s="759" t="s">
        <v>1062</v>
      </c>
      <c r="AC161" s="760" t="str">
        <f>Taal04!$C$136</f>
        <v>De winnaar van het toernooi weet al zijn finalewedstrijden, 4 stuks, te winnen binnen de reguliere speeltijd (inclusief blessuretijd).</v>
      </c>
      <c r="AD161" s="763"/>
      <c r="AE161" s="763"/>
      <c r="AF161" s="763"/>
      <c r="AG161" s="763"/>
      <c r="AH161" s="763"/>
      <c r="AI161" s="763"/>
      <c r="AJ161" s="763"/>
      <c r="AK161" s="763"/>
      <c r="AL161" s="763"/>
      <c r="AM161" s="763"/>
      <c r="AN161" s="763"/>
      <c r="AO161" s="763"/>
      <c r="AP161" s="768"/>
      <c r="AQ161" s="500">
        <f t="shared" si="42"/>
        <v>7</v>
      </c>
      <c r="AR161" s="746" t="str">
        <f ca="1">AO160</f>
        <v>NEE</v>
      </c>
      <c r="AS161" s="72"/>
      <c r="AT161" s="72"/>
      <c r="AU161" s="72"/>
      <c r="AV161" s="72"/>
      <c r="AW161" s="72"/>
      <c r="AX161" s="72"/>
      <c r="AY161" s="285" t="str">
        <f>Voorblad!Z86</f>
        <v>UA</v>
      </c>
      <c r="AZ161" s="285">
        <f t="shared" ca="1" si="40"/>
        <v>1</v>
      </c>
      <c r="BA161" s="285">
        <f t="shared" ca="1" si="41"/>
        <v>3</v>
      </c>
    </row>
    <row r="162" spans="28:53" x14ac:dyDescent="0.25">
      <c r="AB162" s="769"/>
      <c r="AC162" s="764" t="s">
        <v>1059</v>
      </c>
      <c r="AD162" s="763"/>
      <c r="AE162" s="763" t="s">
        <v>69</v>
      </c>
      <c r="AF162" s="763" t="str">
        <f ca="1">IF($AL$59="GOED",$AF$59,$AL$59)</f>
        <v>FR</v>
      </c>
      <c r="AG162" s="763"/>
      <c r="AH162" s="763"/>
      <c r="AI162" s="763" t="s">
        <v>69</v>
      </c>
      <c r="AJ162" s="764" t="str">
        <f ca="1">IF(AO59="FOUT","onvoldoende gegevens","GOED")</f>
        <v>GOED</v>
      </c>
      <c r="AK162" s="763"/>
      <c r="AL162" s="763"/>
      <c r="AM162" s="763"/>
      <c r="AN162" s="763"/>
      <c r="AO162" s="761" t="s">
        <v>1057</v>
      </c>
      <c r="AP162" s="762" t="str">
        <f>IF(AND(Reglement!$Q$81=1,Reglement!$H$90=2),"JA","NEE")</f>
        <v>NEE</v>
      </c>
      <c r="AQ162" s="500">
        <f t="shared" si="42"/>
        <v>8</v>
      </c>
      <c r="AR162" s="746" t="str">
        <f ca="1">AO167</f>
        <v>NEE</v>
      </c>
      <c r="AS162" s="72"/>
      <c r="AT162" s="72"/>
      <c r="AU162" s="72"/>
      <c r="AV162" s="72"/>
      <c r="AW162" s="72"/>
      <c r="AX162" s="72"/>
      <c r="AY162" s="285" t="str">
        <f>Voorblad!Z87</f>
        <v>TR</v>
      </c>
      <c r="AZ162" s="285">
        <f t="shared" ca="1" si="40"/>
        <v>0</v>
      </c>
      <c r="BA162" s="285">
        <f t="shared" ca="1" si="41"/>
        <v>1</v>
      </c>
    </row>
    <row r="163" spans="28:53" x14ac:dyDescent="0.25">
      <c r="AB163" s="763" t="s">
        <v>1072</v>
      </c>
      <c r="AC163" s="764" t="s">
        <v>1071</v>
      </c>
      <c r="AD163" s="763"/>
      <c r="AE163" s="763" t="s">
        <v>69</v>
      </c>
      <c r="AF163" s="763">
        <f ca="1">IF(AND($AL$59="GOED",OR($AF$162=AD14,$AF$162=AF14,$AF$162=AD16,$AF$162=AF16,$AF$162=AD18,$AF$162=AF18,$AF$162=AD20,$AF$162=AF20,$AF$162=AD22,$AF$162=AF22,$AF$162=AD24,$AF$162=AF24,$AF$162=AD26,$AF$162=AF26,$AF$162=AD28,$AF$162=AF28)),1,0)</f>
        <v>1</v>
      </c>
      <c r="AG163" s="763" t="s">
        <v>424</v>
      </c>
      <c r="AH163" s="772">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I163" s="763" t="s">
        <v>69</v>
      </c>
      <c r="AJ163" s="764" t="str">
        <f ca="1">IF(COUNTIF(AO14:AO28,"FOUT"&gt;0),"onvoldoende gegevens",IF(AF163=0,"geen suggestie mogelijk","GOED"))</f>
        <v>GOED</v>
      </c>
      <c r="AK163" s="763"/>
      <c r="AL163" s="763"/>
      <c r="AM163" s="763"/>
      <c r="AN163" s="763"/>
      <c r="AO163" s="761" t="s">
        <v>460</v>
      </c>
      <c r="AP163" s="762">
        <f ca="1">COUNTIF(AH162:AH166,"onvoldoende gegevens")</f>
        <v>0</v>
      </c>
      <c r="AQ163" s="500">
        <f t="shared" si="42"/>
        <v>9</v>
      </c>
      <c r="AR163" s="746" t="str">
        <f>AO171</f>
        <v>zie werkblad bonusvragen</v>
      </c>
      <c r="AS163" s="72"/>
      <c r="AT163" s="72"/>
      <c r="AU163" s="72"/>
      <c r="AV163" s="72"/>
      <c r="AW163" s="72"/>
      <c r="AX163" s="72"/>
      <c r="AY163" s="285" t="str">
        <f>Voorblad!Z88</f>
        <v>GE</v>
      </c>
      <c r="AZ163" s="285">
        <f t="shared" ca="1" si="40"/>
        <v>0</v>
      </c>
      <c r="BA163" s="285">
        <f t="shared" ca="1" si="41"/>
        <v>0</v>
      </c>
    </row>
    <row r="164" spans="28:53" x14ac:dyDescent="0.25">
      <c r="AB164" s="763" t="s">
        <v>1073</v>
      </c>
      <c r="AC164" s="764" t="s">
        <v>1071</v>
      </c>
      <c r="AD164" s="763"/>
      <c r="AE164" s="763" t="s">
        <v>69</v>
      </c>
      <c r="AF164" s="763">
        <f ca="1">IF(AND($AL$59="GOED",OR($AF$162=AD36,$AF$162=AF36,$AF$162=AD38,$AF$162=AF38,$AF$162=AD40,$AF$162=AF40,$AF$162=AD42,$AF$162=AF42)),1,0)</f>
        <v>1</v>
      </c>
      <c r="AG164" s="763" t="s">
        <v>424</v>
      </c>
      <c r="AH164" s="772">
        <f ca="1">IF($AL$59="GOED",IF(AO36="FOUT",0,IF($AF$59=AD36,IF(W36&gt;Y36,1,0),0)+IF($AF$59=AF36,IF(W36&lt;Y36,1,0),0))+IF(AO38="FOUT",0,IF($AF$59=AD38,IF(W38&gt;Y38,1,0),0)+IF($AF$59=AF38,IF(W38&lt;Y38,1,0),0))+IF(AO40="FOUT",0,IF($AF$59=AD40,IF(W40&gt;Y40,1,0),0)+IF($AF$59=AF40,IF(W40&lt;Y40,1,0),0))+IF(AO42="FOUT",0,IF($AF$59=AD42,IF(W42&gt;Y42,1,0),0)+IF($AF$59=AF42,IF(W42&lt;Y42,1,0),0)),"")</f>
        <v>1</v>
      </c>
      <c r="AI164" s="763" t="s">
        <v>69</v>
      </c>
      <c r="AJ164" s="764" t="str">
        <f ca="1">IF(COUNTIF(AO36:AO42,"FOUT")&gt;0,"onvoldoende gegevens",IF(AF164=0,"geen suggestie mogelijk","GOED"))</f>
        <v>GOED</v>
      </c>
      <c r="AK164" s="763"/>
      <c r="AL164" s="763"/>
      <c r="AM164" s="763"/>
      <c r="AN164" s="763"/>
      <c r="AO164" s="761" t="s">
        <v>1060</v>
      </c>
      <c r="AP164" s="762">
        <f ca="1">COUNTIF(AH163:AH166,1)</f>
        <v>3</v>
      </c>
      <c r="AQ164" s="500">
        <f t="shared" si="42"/>
        <v>10</v>
      </c>
      <c r="AR164" s="746" t="str">
        <f>AO178</f>
        <v>geen suggestie mogelijk</v>
      </c>
      <c r="AS164" s="72"/>
      <c r="AT164" s="72"/>
      <c r="AU164" s="72"/>
      <c r="AV164" s="72"/>
      <c r="AW164" s="72"/>
      <c r="AX164" s="72"/>
      <c r="AY164" s="285" t="str">
        <f>Voorblad!Z89</f>
        <v>PT</v>
      </c>
      <c r="AZ164" s="285">
        <f t="shared" ca="1" si="40"/>
        <v>4</v>
      </c>
      <c r="BA164" s="285">
        <f t="shared" ca="1" si="41"/>
        <v>5</v>
      </c>
    </row>
    <row r="165" spans="28:53" x14ac:dyDescent="0.25">
      <c r="AB165" s="763" t="s">
        <v>1074</v>
      </c>
      <c r="AC165" s="764" t="s">
        <v>1071</v>
      </c>
      <c r="AD165" s="763"/>
      <c r="AE165" s="763" t="s">
        <v>69</v>
      </c>
      <c r="AF165" s="763">
        <f ca="1">IF(AND($AL$59="GOED",OR($AF$162=AD46,$AF$162=AF46,$AF$162=AD48,$AF$162=AF48)),1,0)</f>
        <v>1</v>
      </c>
      <c r="AG165" s="763" t="s">
        <v>424</v>
      </c>
      <c r="AH165" s="772">
        <f ca="1">IF($AL$59="GOED",IF(AO46="FOUT",0,IF($AF$59=AD46,IF(W46&gt;Y46,1,0),0)+IF($AF$59=AF46,IF(W46&lt;Y46,1,0),0))+IF(AO48="FOUT",0,IF($AF$59=AD48,IF(W48&gt;Y48,1,0),0)+IF($AF$59=AF48,IF(W48&lt;Y48,1,0),0)),"")</f>
        <v>1</v>
      </c>
      <c r="AI165" s="763" t="s">
        <v>69</v>
      </c>
      <c r="AJ165" s="764" t="str">
        <f ca="1">IF(COUNTIF(AO46:AO48,"FOUT")&gt;0,"onvoldoende gegevens",IF(AF165=0,"geen suggestie mogelijk","GOED"))</f>
        <v>GOED</v>
      </c>
      <c r="AK165" s="763"/>
      <c r="AL165" s="763"/>
      <c r="AM165" s="763"/>
      <c r="AN165" s="763"/>
      <c r="AO165" s="761" t="s">
        <v>1075</v>
      </c>
      <c r="AP165" s="762">
        <v>4</v>
      </c>
      <c r="AQ165" s="500">
        <f t="shared" si="42"/>
        <v>11</v>
      </c>
      <c r="AR165" s="746" t="str">
        <f>AO178</f>
        <v>geen suggestie mogelijk</v>
      </c>
      <c r="AS165" s="72"/>
      <c r="AT165" s="72"/>
      <c r="AU165" s="72"/>
      <c r="AV165" s="72"/>
      <c r="AW165" s="72"/>
      <c r="AX165" s="72"/>
      <c r="AY165" s="285" t="str">
        <f>Voorblad!Z90</f>
        <v>CZ</v>
      </c>
      <c r="AZ165" s="285">
        <f t="shared" ca="1" si="40"/>
        <v>0</v>
      </c>
      <c r="BA165" s="285">
        <f t="shared" ca="1" si="41"/>
        <v>0</v>
      </c>
    </row>
    <row r="166" spans="28:53" x14ac:dyDescent="0.25">
      <c r="AB166" s="763" t="s">
        <v>437</v>
      </c>
      <c r="AC166" s="764" t="s">
        <v>1071</v>
      </c>
      <c r="AD166" s="763"/>
      <c r="AE166" s="763" t="s">
        <v>69</v>
      </c>
      <c r="AF166" s="763">
        <f ca="1">IF(AND($AL$59="GOED",OR($AF$162=AD56,$AF$162=AF56)),1,0)</f>
        <v>1</v>
      </c>
      <c r="AG166" s="763" t="s">
        <v>424</v>
      </c>
      <c r="AH166" s="772">
        <f ca="1">IF($AL$59="GOED",IF(AO56="FOUT",0,IF($AF$59=AD56,IF(W56&gt;Y56,1,0),0)+IF($AF$59=AF56,IF(W56&lt;Y56,1,0),0)),"")</f>
        <v>0</v>
      </c>
      <c r="AI166" s="763" t="s">
        <v>69</v>
      </c>
      <c r="AJ166" s="764" t="str">
        <f ca="1">IF(AO56="FOUT","onvoldoende gegevens",IF(AF166=0,"geen suggestie mogelijk","GOED"))</f>
        <v>GOED</v>
      </c>
      <c r="AK166" s="763"/>
      <c r="AL166" s="763"/>
      <c r="AM166" s="763"/>
      <c r="AN166" s="763"/>
      <c r="AO166" s="761" t="s">
        <v>1061</v>
      </c>
      <c r="AP166" s="762">
        <f ca="1">COUNTIF(AH163:AH166,0)</f>
        <v>1</v>
      </c>
      <c r="AQ166" s="500">
        <f t="shared" si="42"/>
        <v>12</v>
      </c>
      <c r="AR166" s="746" t="str">
        <f>AO171</f>
        <v>zie werkblad bonusvragen</v>
      </c>
      <c r="AS166" s="72"/>
      <c r="AT166" s="72"/>
      <c r="AU166" s="72"/>
      <c r="AV166" s="72"/>
      <c r="AW166" s="72"/>
      <c r="AX166" s="72"/>
      <c r="AY166" s="285" t="str">
        <f>Voorblad!Z91</f>
        <v>ZA</v>
      </c>
      <c r="AZ166" s="285">
        <f t="shared" ca="1" si="40"/>
        <v>0</v>
      </c>
      <c r="BA166" s="285">
        <f t="shared" ca="1" si="41"/>
        <v>0</v>
      </c>
    </row>
    <row r="167" spans="28:53" x14ac:dyDescent="0.25">
      <c r="AB167" s="770"/>
      <c r="AC167" s="764"/>
      <c r="AD167" s="765"/>
      <c r="AE167" s="765"/>
      <c r="AF167" s="765"/>
      <c r="AG167" s="765"/>
      <c r="AH167" s="765"/>
      <c r="AI167" s="765"/>
      <c r="AJ167" s="765"/>
      <c r="AK167" s="765"/>
      <c r="AL167" s="765"/>
      <c r="AM167" s="771" t="s">
        <v>1076</v>
      </c>
      <c r="AN167" s="766" t="s">
        <v>381</v>
      </c>
      <c r="AO167" s="497" t="str">
        <f ca="1">IF(COUNTIF(AJ162:AJ166,"onvoldoende gegevens")&gt;0,"onvoldoende gegevens",IF(COUNTIF(AJ162:AJ166,"geen suggestie mogelijk")&gt;0,"geen suggestie mogelijk",IF(AP162="XX",IF(AP166&gt;0,"NEE","geen suggestie mogelijk"),IF(AP164&gt;=AP165,"JA","NEE"))))</f>
        <v>NEE</v>
      </c>
      <c r="AP167" s="767"/>
      <c r="AQ167" s="500">
        <f t="shared" si="42"/>
        <v>13</v>
      </c>
      <c r="AR167" s="746" t="str">
        <f>AO178</f>
        <v>geen suggestie mogelijk</v>
      </c>
      <c r="AS167" s="72"/>
      <c r="AT167" s="72"/>
      <c r="AU167" s="72"/>
      <c r="AV167" s="72"/>
      <c r="AW167" s="72"/>
      <c r="AX167" s="72"/>
      <c r="AY167" s="285" t="str">
        <f>Voorblad!Z92</f>
        <v>ZB</v>
      </c>
      <c r="AZ167" s="285">
        <f t="shared" ca="1" si="40"/>
        <v>0</v>
      </c>
      <c r="BA167" s="285">
        <f t="shared" ca="1" si="41"/>
        <v>0</v>
      </c>
    </row>
    <row r="168" spans="28:53" x14ac:dyDescent="0.25">
      <c r="AB168" s="753" t="s">
        <v>1063</v>
      </c>
      <c r="AC168" s="492" t="str">
        <f>Taal04!$C$137</f>
        <v>De winnaar van het toernooi heeft een beter doelsaldo dan de andere teams. In geval van een gelijk doelsaldo zijn de gescoorde doelpunten doorslaggevend.</v>
      </c>
      <c r="AD168" s="419"/>
      <c r="AE168" s="419"/>
      <c r="AF168" s="758"/>
      <c r="AG168" s="419"/>
      <c r="AH168" s="494"/>
      <c r="AI168" s="419"/>
      <c r="AJ168" s="419"/>
      <c r="AK168" s="419"/>
      <c r="AL168" s="419"/>
      <c r="AM168" s="419"/>
      <c r="AN168" s="419"/>
      <c r="AO168" s="419"/>
      <c r="AP168" s="749"/>
      <c r="AQ168" s="500">
        <f t="shared" si="42"/>
        <v>14</v>
      </c>
      <c r="AR168" s="746" t="str">
        <f>AO171</f>
        <v>zie werkblad bonusvragen</v>
      </c>
      <c r="AS168" s="72"/>
      <c r="AT168" s="72"/>
      <c r="AU168" s="72"/>
      <c r="AV168" s="72"/>
      <c r="AW168" s="72"/>
      <c r="AX168" s="72"/>
      <c r="AY168" s="285" t="str">
        <f>Voorblad!Z93</f>
        <v>ZC</v>
      </c>
      <c r="AZ168" s="285">
        <f t="shared" ca="1" si="40"/>
        <v>0</v>
      </c>
      <c r="BA168" s="285">
        <f t="shared" ca="1" si="41"/>
        <v>0</v>
      </c>
    </row>
    <row r="169" spans="28:53" x14ac:dyDescent="0.25">
      <c r="AB169" s="753" t="s">
        <v>1066</v>
      </c>
      <c r="AC169" s="499" t="str">
        <f>Taal04!$C$140</f>
        <v>Alle 24 deelnemende landen weten elk minimaal één keer te scoren gedurende het toernooi.</v>
      </c>
      <c r="AD169" s="419"/>
      <c r="AE169" s="419"/>
      <c r="AF169" s="419"/>
      <c r="AG169" s="419"/>
      <c r="AH169" s="419"/>
      <c r="AI169" s="419"/>
      <c r="AJ169" s="419"/>
      <c r="AK169" s="419"/>
      <c r="AL169" s="419"/>
      <c r="AM169" s="419"/>
      <c r="AN169" s="419"/>
      <c r="AO169" s="419"/>
      <c r="AP169" s="749"/>
      <c r="AQ169" s="500">
        <f t="shared" si="42"/>
        <v>15</v>
      </c>
      <c r="AR169" s="746" t="str">
        <f>AO178</f>
        <v>geen suggestie mogelijk</v>
      </c>
      <c r="AS169" s="72"/>
      <c r="AT169" s="72"/>
      <c r="AU169" s="72"/>
      <c r="AV169" s="72"/>
      <c r="AW169" s="72"/>
      <c r="AX169" s="72"/>
      <c r="AY169" s="285" t="str">
        <f>Voorblad!Z94</f>
        <v>ZD</v>
      </c>
      <c r="AZ169" s="285">
        <f t="shared" ca="1" si="40"/>
        <v>0</v>
      </c>
      <c r="BA169" s="285">
        <f t="shared" ca="1" si="41"/>
        <v>0</v>
      </c>
    </row>
    <row r="170" spans="28:53" x14ac:dyDescent="0.25">
      <c r="AB170" s="753" t="s">
        <v>1068</v>
      </c>
      <c r="AC170" s="499" t="str">
        <f>Taal04!$C$142</f>
        <v>Gedurende het toernooi worden er niet meer dan zes doelpunten gescoord in één wedstrijd (inclusief een eventuele verlenging).</v>
      </c>
      <c r="AD170" s="419"/>
      <c r="AE170" s="419"/>
      <c r="AF170" s="419"/>
      <c r="AG170" s="419"/>
      <c r="AH170" s="419"/>
      <c r="AI170" s="419"/>
      <c r="AJ170" s="419"/>
      <c r="AK170" s="419"/>
      <c r="AL170" s="419"/>
      <c r="AM170" s="419"/>
      <c r="AN170" s="419"/>
      <c r="AO170" s="419"/>
      <c r="AP170" s="749"/>
      <c r="AQ170" s="72"/>
      <c r="AR170" s="72"/>
      <c r="AS170" s="72"/>
      <c r="AT170" s="72"/>
      <c r="AU170" s="72"/>
      <c r="AV170" s="72"/>
      <c r="AW170" s="72"/>
      <c r="AX170" s="72"/>
      <c r="AY170" s="285" t="str">
        <f>Voorblad!Z95</f>
        <v>ZE</v>
      </c>
      <c r="AZ170" s="285">
        <f t="shared" ca="1" si="40"/>
        <v>0</v>
      </c>
      <c r="BA170" s="285">
        <f t="shared" ca="1" si="41"/>
        <v>0</v>
      </c>
    </row>
    <row r="171" spans="28:53" x14ac:dyDescent="0.25">
      <c r="AB171" s="843"/>
      <c r="AC171" s="843"/>
      <c r="AD171" s="495"/>
      <c r="AE171" s="495"/>
      <c r="AF171" s="495"/>
      <c r="AG171" s="495"/>
      <c r="AH171" s="495"/>
      <c r="AI171" s="495"/>
      <c r="AJ171" s="495"/>
      <c r="AK171" s="495"/>
      <c r="AL171" s="495"/>
      <c r="AM171" s="495"/>
      <c r="AN171" s="752" t="s">
        <v>381</v>
      </c>
      <c r="AO171" s="497" t="s">
        <v>1070</v>
      </c>
      <c r="AP171" s="502"/>
      <c r="AQ171" s="72"/>
      <c r="AR171" s="72"/>
      <c r="AS171" s="72"/>
      <c r="AT171" s="72"/>
      <c r="AU171" s="72"/>
      <c r="AV171" s="72"/>
      <c r="AW171" s="72"/>
      <c r="AX171" s="72"/>
      <c r="AY171" s="285" t="str">
        <f>Voorblad!Z96</f>
        <v>ZF</v>
      </c>
      <c r="AZ171" s="285">
        <f t="shared" ca="1" si="40"/>
        <v>0</v>
      </c>
      <c r="BA171" s="285">
        <f t="shared" ca="1" si="41"/>
        <v>0</v>
      </c>
    </row>
    <row r="172" spans="28:53" x14ac:dyDescent="0.25">
      <c r="AB172" s="491" t="s">
        <v>1064</v>
      </c>
      <c r="AC172" s="492" t="str">
        <f>Taal04!$C$138</f>
        <v>De winnaar van het toernooi levert tevens ook de topscorer van het toernooi of één van de topscorers.</v>
      </c>
      <c r="AD172" s="419"/>
      <c r="AE172" s="419"/>
      <c r="AF172" s="419"/>
      <c r="AG172" s="419"/>
      <c r="AH172" s="419"/>
      <c r="AI172" s="419"/>
      <c r="AJ172" s="419"/>
      <c r="AK172" s="419"/>
      <c r="AL172" s="419"/>
      <c r="AM172" s="419"/>
      <c r="AN172" s="419"/>
      <c r="AO172" s="419"/>
      <c r="AP172" s="749"/>
      <c r="AQ172" s="72"/>
      <c r="AR172" s="72"/>
      <c r="AS172" s="72"/>
      <c r="AT172" s="72"/>
      <c r="AU172" s="72"/>
      <c r="AV172" s="72"/>
      <c r="AW172" s="72"/>
      <c r="AX172" s="72"/>
      <c r="AY172" s="285" t="str">
        <f>Voorblad!Z97</f>
        <v>ZG</v>
      </c>
      <c r="AZ172" s="285">
        <f t="shared" ca="1" si="40"/>
        <v>0</v>
      </c>
      <c r="BA172" s="285">
        <f t="shared" ca="1" si="41"/>
        <v>0</v>
      </c>
    </row>
    <row r="173" spans="28:53" x14ac:dyDescent="0.25">
      <c r="AB173" s="753" t="s">
        <v>1065</v>
      </c>
      <c r="AC173" s="499" t="str">
        <f>Taal04!$C$139</f>
        <v>Tijdens het toernooi weet een speler in één wedstrijd drie keer of meer te scoren, oftewel een hattrick. Benutte penalty's tijdens een strafschoppenserie tellen niet mee.</v>
      </c>
      <c r="AD173" s="419"/>
      <c r="AE173" s="419"/>
      <c r="AF173" s="419"/>
      <c r="AG173" s="419"/>
      <c r="AH173" s="419"/>
      <c r="AI173" s="419"/>
      <c r="AJ173" s="419"/>
      <c r="AK173" s="419"/>
      <c r="AL173" s="419"/>
      <c r="AM173" s="419"/>
      <c r="AN173" s="419"/>
      <c r="AO173" s="419"/>
      <c r="AP173" s="749"/>
      <c r="AQ173" s="72"/>
      <c r="AR173" s="72"/>
      <c r="AS173" s="72"/>
      <c r="AT173" s="72"/>
      <c r="AU173" s="72"/>
      <c r="AV173" s="72"/>
      <c r="AW173" s="72"/>
      <c r="AX173" s="72"/>
      <c r="AY173" s="285" t="str">
        <f>Voorblad!Z98</f>
        <v>ZH</v>
      </c>
      <c r="AZ173" s="285">
        <f t="shared" ca="1" si="40"/>
        <v>0</v>
      </c>
      <c r="BA173" s="285">
        <f t="shared" ca="1" si="41"/>
        <v>0</v>
      </c>
    </row>
    <row r="174" spans="28:53" x14ac:dyDescent="0.25">
      <c r="AB174" s="753" t="s">
        <v>1067</v>
      </c>
      <c r="AC174" s="499" t="str">
        <f>Taal04!$C$141</f>
        <v>Van alle gescoorde doelpunten tijdens het toernooi worden er minimaal vijf in eigen doel gescoord.</v>
      </c>
      <c r="AD174" s="419"/>
      <c r="AE174" s="419"/>
      <c r="AF174" s="419"/>
      <c r="AG174" s="419"/>
      <c r="AH174" s="419"/>
      <c r="AI174" s="419"/>
      <c r="AJ174" s="419"/>
      <c r="AK174" s="419"/>
      <c r="AL174" s="419"/>
      <c r="AM174" s="419"/>
      <c r="AN174" s="419"/>
      <c r="AO174" s="419"/>
      <c r="AP174" s="749"/>
      <c r="AQ174" s="72"/>
      <c r="AR174" s="72"/>
      <c r="AS174" s="72"/>
      <c r="AT174" s="72"/>
      <c r="AU174" s="72"/>
      <c r="AV174" s="72"/>
      <c r="AW174" s="72"/>
      <c r="AX174" s="72"/>
      <c r="AY174" s="72"/>
      <c r="AZ174" s="72"/>
      <c r="BA174" s="72"/>
    </row>
    <row r="175" spans="28:53" x14ac:dyDescent="0.25">
      <c r="AB175" s="753" t="s">
        <v>1069</v>
      </c>
      <c r="AC175" s="499" t="str">
        <f>Taal04!$C$143</f>
        <v>Gedurende het toernooi weet de scheidsrechter in twee of meerdere wedstrijden zijn kaarten op zak te houden.</v>
      </c>
      <c r="AD175" s="419"/>
      <c r="AE175" s="419"/>
      <c r="AF175" s="419"/>
      <c r="AG175" s="419"/>
      <c r="AH175" s="419"/>
      <c r="AI175" s="419"/>
      <c r="AJ175" s="419"/>
      <c r="AK175" s="419"/>
      <c r="AL175" s="419"/>
      <c r="AM175" s="419"/>
      <c r="AN175" s="419"/>
      <c r="AO175" s="419"/>
      <c r="AP175" s="749"/>
      <c r="AQ175" s="72"/>
      <c r="AR175" s="72"/>
      <c r="AS175" s="72"/>
      <c r="AT175" s="72"/>
      <c r="AU175" s="72"/>
      <c r="AV175" s="72"/>
      <c r="AW175" s="72"/>
      <c r="AX175" s="72"/>
      <c r="AY175" s="72"/>
      <c r="AZ175" s="72"/>
      <c r="BA175" s="72"/>
    </row>
    <row r="176" spans="28:53" x14ac:dyDescent="0.25">
      <c r="AB176" s="753"/>
      <c r="AC176" s="499"/>
      <c r="AD176" s="419"/>
      <c r="AE176" s="419"/>
      <c r="AF176" s="419"/>
      <c r="AG176" s="419"/>
      <c r="AH176" s="419"/>
      <c r="AI176" s="419"/>
      <c r="AJ176" s="419"/>
      <c r="AK176" s="419"/>
      <c r="AL176" s="419"/>
      <c r="AM176" s="419"/>
      <c r="AN176" s="419"/>
      <c r="AO176" s="419"/>
      <c r="AP176" s="749"/>
      <c r="AQ176" s="72"/>
      <c r="AR176" s="72"/>
      <c r="AS176" s="72"/>
      <c r="AT176" s="72"/>
      <c r="AU176" s="72"/>
      <c r="AV176" s="72"/>
      <c r="AW176" s="72"/>
      <c r="AX176" s="72"/>
      <c r="AY176" s="72"/>
      <c r="AZ176" s="72"/>
      <c r="BA176" s="72"/>
    </row>
    <row r="177" spans="28:53" x14ac:dyDescent="0.25">
      <c r="AB177" s="753"/>
      <c r="AC177" s="499"/>
      <c r="AD177" s="419"/>
      <c r="AE177" s="419"/>
      <c r="AF177" s="419"/>
      <c r="AG177" s="419"/>
      <c r="AH177" s="419"/>
      <c r="AI177" s="419"/>
      <c r="AJ177" s="419"/>
      <c r="AK177" s="419"/>
      <c r="AL177" s="419"/>
      <c r="AM177" s="419"/>
      <c r="AN177" s="419"/>
      <c r="AO177" s="419"/>
      <c r="AP177" s="749"/>
      <c r="AQ177" s="72"/>
      <c r="AR177" s="72"/>
      <c r="AS177" s="72"/>
      <c r="AT177" s="72"/>
      <c r="AU177" s="72"/>
      <c r="AV177" s="72"/>
      <c r="AW177" s="72"/>
      <c r="AX177" s="72"/>
      <c r="AY177" s="72"/>
      <c r="AZ177" s="72"/>
      <c r="BA177" s="72"/>
    </row>
    <row r="178" spans="28:53" x14ac:dyDescent="0.25">
      <c r="AB178" s="495"/>
      <c r="AC178" s="495"/>
      <c r="AD178" s="495"/>
      <c r="AE178" s="495"/>
      <c r="AF178" s="495"/>
      <c r="AG178" s="495"/>
      <c r="AH178" s="495"/>
      <c r="AI178" s="495"/>
      <c r="AJ178" s="495"/>
      <c r="AK178" s="495"/>
      <c r="AL178" s="495"/>
      <c r="AM178" s="495"/>
      <c r="AN178" s="752" t="s">
        <v>381</v>
      </c>
      <c r="AO178" s="497" t="s">
        <v>311</v>
      </c>
      <c r="AP178" s="502"/>
      <c r="AQ178" s="72"/>
      <c r="AR178" s="72"/>
      <c r="AS178" s="72"/>
      <c r="AT178" s="72"/>
      <c r="AU178" s="72"/>
      <c r="AV178" s="72"/>
      <c r="AW178" s="72"/>
      <c r="AX178" s="72"/>
      <c r="AY178" s="72"/>
      <c r="AZ178" s="72"/>
      <c r="BA178" s="72"/>
    </row>
    <row r="179" spans="28:53" x14ac:dyDescent="0.25">
      <c r="AB179" s="491" t="s">
        <v>1058</v>
      </c>
      <c r="AC179" s="492" t="str">
        <f>Taal04!$C$134</f>
        <v>Tijdens EURO 2020 stonden Engeland en Italië in de finale tegenover elkaar. Één of beide teams weten ook deze editie weer te finale te bereiken.</v>
      </c>
      <c r="AD179" s="419"/>
      <c r="AE179" s="419"/>
      <c r="AF179" s="419"/>
      <c r="AG179" s="419"/>
      <c r="AH179" s="419"/>
      <c r="AI179" s="419"/>
      <c r="AJ179" s="419"/>
      <c r="AK179" s="419"/>
      <c r="AL179" s="419"/>
      <c r="AM179" s="419"/>
      <c r="AN179" s="419"/>
      <c r="AO179" s="498" t="s">
        <v>460</v>
      </c>
      <c r="AP179" s="757">
        <f ca="1">COUNTIF(AM181:AM182,"onvoldoende gegevens")</f>
        <v>0</v>
      </c>
      <c r="AR179" s="47"/>
      <c r="AT179" s="47"/>
      <c r="AV179" s="47"/>
      <c r="AX179" s="47"/>
      <c r="AZ179" s="47"/>
    </row>
    <row r="180" spans="28:53" x14ac:dyDescent="0.25">
      <c r="AB180" s="419"/>
      <c r="AC180" s="494" t="s">
        <v>2453</v>
      </c>
      <c r="AD180" s="419"/>
      <c r="AE180" s="419" t="s">
        <v>69</v>
      </c>
      <c r="AF180" s="494" t="str">
        <f>SUBSTITUTE("|"&amp;AE122&amp;"|"&amp;AE124&amp;"|","LEEG","XX")</f>
        <v>|GB|IT|</v>
      </c>
      <c r="AG180" s="419"/>
      <c r="AH180" s="419"/>
      <c r="AI180" s="419"/>
      <c r="AJ180" s="419"/>
      <c r="AK180" s="419"/>
      <c r="AL180" s="419"/>
      <c r="AM180" s="419"/>
      <c r="AN180" s="419"/>
      <c r="AO180" s="498" t="s">
        <v>461</v>
      </c>
      <c r="AP180" s="757">
        <f ca="1">COUNTIF(AM181:AM182,"JA")</f>
        <v>2</v>
      </c>
      <c r="AR180" s="47"/>
      <c r="AT180" s="47"/>
      <c r="AV180" s="47"/>
      <c r="AX180" s="47"/>
      <c r="AZ180" s="47"/>
    </row>
    <row r="181" spans="28:53" x14ac:dyDescent="0.25">
      <c r="AB181" s="419"/>
      <c r="AC181" s="494" t="s">
        <v>2446</v>
      </c>
      <c r="AD181" s="419"/>
      <c r="AE181" s="419" t="s">
        <v>69</v>
      </c>
      <c r="AF181" s="419" t="str">
        <f ca="1">IF($AK$56="GOED",$AD$56,$AK$56)</f>
        <v>DE</v>
      </c>
      <c r="AG181" s="419"/>
      <c r="AH181" s="419"/>
      <c r="AI181" s="419"/>
      <c r="AJ181" s="419"/>
      <c r="AK181" s="419"/>
      <c r="AL181" s="748" t="s">
        <v>381</v>
      </c>
      <c r="AM181" s="494" t="str">
        <f ca="1">IF(OR(AF181="LEEG",AF181="FOUT",AF181="ONGELDIG"),"onvoldoende gegevens",IF(SUBSTITUTE($AF$152,AF181,"##")=$AF$152,"NEE","JA"))</f>
        <v>JA</v>
      </c>
      <c r="AN181" s="419"/>
      <c r="AO181" s="498" t="s">
        <v>1055</v>
      </c>
      <c r="AP181" s="757">
        <v>1</v>
      </c>
      <c r="AR181" s="47"/>
      <c r="AT181" s="47"/>
      <c r="AV181" s="47"/>
      <c r="AX181" s="47"/>
      <c r="AZ181" s="47"/>
    </row>
    <row r="182" spans="28:53" x14ac:dyDescent="0.25">
      <c r="AB182" s="419"/>
      <c r="AC182" s="494" t="s">
        <v>2447</v>
      </c>
      <c r="AD182" s="419"/>
      <c r="AE182" s="419" t="s">
        <v>69</v>
      </c>
      <c r="AF182" s="419" t="str">
        <f ca="1">IF($AL$56="GOED",$AF$56,$AL$56)</f>
        <v>FR</v>
      </c>
      <c r="AG182" s="419"/>
      <c r="AH182" s="419"/>
      <c r="AI182" s="419"/>
      <c r="AJ182" s="419"/>
      <c r="AK182" s="419"/>
      <c r="AL182" s="748" t="s">
        <v>381</v>
      </c>
      <c r="AM182" s="494" t="str">
        <f ca="1">IF(OR(AF182="LEEG",AF182="FOUT",AF182="ONGELDIG"),"onvoldoende gegevens",IF(SUBSTITUTE($AF$152,AF182,"##")=$AF$152,"NEE","JA"))</f>
        <v>JA</v>
      </c>
      <c r="AN182" s="419"/>
      <c r="AO182" s="498" t="s">
        <v>462</v>
      </c>
      <c r="AP182" s="757">
        <f ca="1">COUNTIF(AM181:AM182,"NEE")</f>
        <v>0</v>
      </c>
      <c r="AZ182" s="47"/>
    </row>
    <row r="183" spans="28:53" x14ac:dyDescent="0.25">
      <c r="AB183" s="495"/>
      <c r="AC183" s="495"/>
      <c r="AD183" s="495"/>
      <c r="AE183" s="495"/>
      <c r="AF183" s="495"/>
      <c r="AG183" s="495"/>
      <c r="AH183" s="495"/>
      <c r="AI183" s="495"/>
      <c r="AJ183" s="495"/>
      <c r="AK183" s="495"/>
      <c r="AL183" s="495"/>
      <c r="AM183" s="495"/>
      <c r="AN183" s="752" t="s">
        <v>381</v>
      </c>
      <c r="AO183" s="497" t="str">
        <f ca="1">IF(AP180&gt;=AP181,"JA",IF(AP179&gt;0,"onvoldoende gegevens","NEE"))</f>
        <v>JA</v>
      </c>
      <c r="AP183" s="502"/>
    </row>
    <row r="186" spans="28:53" x14ac:dyDescent="0.25">
      <c r="AB186" s="47"/>
      <c r="AC186" s="47"/>
      <c r="AD186" s="47"/>
      <c r="AE186" s="47"/>
      <c r="AF186" s="47"/>
      <c r="AG186" s="47"/>
      <c r="AH186" s="47"/>
      <c r="AI186" s="47"/>
      <c r="AJ186" s="47"/>
      <c r="AK186" s="47"/>
      <c r="AL186" s="47"/>
      <c r="AM186" s="47"/>
      <c r="AN186" s="47"/>
      <c r="AO186" s="47"/>
    </row>
    <row r="187" spans="28:53" x14ac:dyDescent="0.25">
      <c r="AB187" s="47"/>
      <c r="AC187" s="47"/>
      <c r="AD187" s="47"/>
      <c r="AE187" s="47"/>
      <c r="AF187" s="47"/>
      <c r="AG187" s="47"/>
      <c r="AH187" s="47"/>
      <c r="AI187" s="47"/>
      <c r="AJ187" s="47"/>
      <c r="AK187" s="47"/>
      <c r="AL187" s="47"/>
      <c r="AM187" s="47"/>
      <c r="AN187" s="47"/>
      <c r="AO187" s="47"/>
    </row>
    <row r="188" spans="28:53" x14ac:dyDescent="0.25">
      <c r="AB188" s="47"/>
      <c r="AC188" s="47"/>
      <c r="AD188" s="47"/>
      <c r="AE188" s="47"/>
      <c r="AF188" s="47"/>
      <c r="AG188" s="47"/>
      <c r="AH188" s="47"/>
      <c r="AI188" s="47"/>
      <c r="AJ188" s="47"/>
      <c r="AK188" s="47"/>
      <c r="AL188" s="47"/>
      <c r="AM188" s="47"/>
      <c r="AN188" s="47"/>
      <c r="AO188" s="47"/>
    </row>
    <row r="189" spans="28:53" x14ac:dyDescent="0.25">
      <c r="AB189" s="47"/>
      <c r="AC189" s="47"/>
      <c r="AD189" s="47"/>
      <c r="AE189" s="47"/>
      <c r="AF189" s="47"/>
      <c r="AG189" s="47"/>
      <c r="AH189" s="47"/>
      <c r="AI189" s="47"/>
      <c r="AJ189" s="47"/>
      <c r="AK189" s="47"/>
      <c r="AL189" s="47"/>
      <c r="AM189" s="47"/>
      <c r="AN189" s="47"/>
      <c r="AO189" s="47"/>
    </row>
    <row r="190" spans="28:53" x14ac:dyDescent="0.25">
      <c r="AB190" s="47"/>
      <c r="AC190" s="47"/>
      <c r="AD190" s="47"/>
      <c r="AE190" s="47"/>
      <c r="AF190" s="47"/>
      <c r="AG190" s="47"/>
      <c r="AH190" s="47"/>
      <c r="AI190" s="47"/>
      <c r="AJ190" s="47"/>
      <c r="AK190" s="47"/>
      <c r="AL190" s="47"/>
      <c r="AM190" s="47"/>
      <c r="AN190" s="47"/>
      <c r="AO190" s="47"/>
    </row>
    <row r="191" spans="28:53" x14ac:dyDescent="0.25">
      <c r="AB191" s="47"/>
      <c r="AC191" s="47"/>
      <c r="AD191" s="47"/>
      <c r="AE191" s="47"/>
      <c r="AF191" s="47"/>
      <c r="AG191" s="47"/>
      <c r="AH191" s="47"/>
      <c r="AI191" s="47"/>
      <c r="AJ191" s="47"/>
      <c r="AK191" s="47"/>
      <c r="AL191" s="47"/>
      <c r="AM191" s="47"/>
      <c r="AN191" s="47"/>
      <c r="AO191" s="47"/>
    </row>
    <row r="192" spans="28:53" x14ac:dyDescent="0.25">
      <c r="AB192" s="47"/>
      <c r="AC192" s="47"/>
      <c r="AD192" s="47"/>
      <c r="AE192" s="47"/>
      <c r="AF192" s="47"/>
      <c r="AG192" s="47"/>
      <c r="AH192" s="47"/>
      <c r="AI192" s="47"/>
      <c r="AJ192" s="47"/>
      <c r="AK192" s="47"/>
      <c r="AL192" s="47"/>
      <c r="AM192" s="47"/>
      <c r="AN192" s="47"/>
      <c r="AO192" s="47"/>
    </row>
    <row r="193" spans="28:41" x14ac:dyDescent="0.25">
      <c r="AB193" s="47"/>
      <c r="AC193" s="47"/>
      <c r="AD193" s="47"/>
      <c r="AE193" s="47"/>
      <c r="AF193" s="47"/>
      <c r="AG193" s="47"/>
      <c r="AH193" s="47"/>
      <c r="AI193" s="47"/>
      <c r="AJ193" s="47"/>
      <c r="AK193" s="47"/>
      <c r="AL193" s="47"/>
      <c r="AM193" s="47"/>
      <c r="AN193" s="47"/>
      <c r="AO193" s="47"/>
    </row>
    <row r="194" spans="28:41" x14ac:dyDescent="0.25">
      <c r="AB194" s="47"/>
      <c r="AC194" s="47"/>
      <c r="AD194" s="47"/>
      <c r="AE194" s="47"/>
      <c r="AF194" s="47"/>
      <c r="AG194" s="47"/>
      <c r="AH194" s="47"/>
      <c r="AI194" s="47"/>
      <c r="AJ194" s="47"/>
      <c r="AK194" s="47"/>
      <c r="AL194" s="47"/>
      <c r="AM194" s="47"/>
      <c r="AN194" s="47"/>
      <c r="AO194" s="47"/>
    </row>
    <row r="195" spans="28:41" x14ac:dyDescent="0.25">
      <c r="AB195" s="47"/>
      <c r="AC195" s="47"/>
      <c r="AD195" s="47"/>
      <c r="AE195" s="47"/>
      <c r="AF195" s="47"/>
      <c r="AG195" s="47"/>
      <c r="AH195" s="47"/>
      <c r="AI195" s="47"/>
      <c r="AJ195" s="47"/>
      <c r="AK195" s="47"/>
      <c r="AL195" s="47"/>
      <c r="AM195" s="47"/>
      <c r="AN195" s="47"/>
      <c r="AO195" s="47"/>
    </row>
    <row r="196" spans="28:41" x14ac:dyDescent="0.25">
      <c r="AB196" s="47"/>
      <c r="AC196" s="47"/>
      <c r="AD196" s="47"/>
      <c r="AE196" s="47"/>
      <c r="AF196" s="47"/>
      <c r="AG196" s="47"/>
      <c r="AH196" s="47"/>
      <c r="AI196" s="47"/>
      <c r="AJ196" s="47"/>
      <c r="AK196" s="47"/>
      <c r="AL196" s="47"/>
      <c r="AM196" s="47"/>
      <c r="AN196" s="47"/>
      <c r="AO196" s="47"/>
    </row>
    <row r="197" spans="28:41" x14ac:dyDescent="0.25">
      <c r="AB197" s="47"/>
      <c r="AC197" s="47"/>
      <c r="AD197" s="47"/>
      <c r="AE197" s="47"/>
      <c r="AF197" s="47"/>
      <c r="AG197" s="47"/>
      <c r="AH197" s="47"/>
      <c r="AI197" s="47"/>
      <c r="AJ197" s="47"/>
      <c r="AK197" s="47"/>
      <c r="AL197" s="47"/>
      <c r="AM197" s="47"/>
      <c r="AN197" s="47"/>
      <c r="AO197" s="47"/>
    </row>
    <row r="198" spans="28:41" x14ac:dyDescent="0.25">
      <c r="AB198" s="47"/>
      <c r="AC198" s="47"/>
      <c r="AD198" s="47"/>
      <c r="AE198" s="47"/>
      <c r="AF198" s="47"/>
      <c r="AG198" s="47"/>
      <c r="AH198" s="47"/>
      <c r="AI198" s="47"/>
      <c r="AJ198" s="47"/>
      <c r="AK198" s="47"/>
      <c r="AL198" s="47"/>
      <c r="AM198" s="47"/>
      <c r="AN198" s="47"/>
      <c r="AO198" s="47"/>
    </row>
    <row r="199" spans="28:41" x14ac:dyDescent="0.25">
      <c r="AB199" s="47"/>
      <c r="AC199" s="47"/>
      <c r="AD199" s="47"/>
      <c r="AE199" s="47"/>
      <c r="AF199" s="47"/>
      <c r="AG199" s="47"/>
      <c r="AH199" s="47"/>
      <c r="AI199" s="47"/>
      <c r="AJ199" s="47"/>
      <c r="AK199" s="47"/>
      <c r="AL199" s="47"/>
      <c r="AM199" s="47"/>
      <c r="AN199" s="47"/>
      <c r="AO199" s="47"/>
    </row>
    <row r="200" spans="28:41" x14ac:dyDescent="0.25">
      <c r="AB200" s="47"/>
      <c r="AC200" s="47"/>
      <c r="AD200" s="47"/>
      <c r="AE200" s="47"/>
      <c r="AF200" s="47"/>
      <c r="AG200" s="47"/>
      <c r="AH200" s="47"/>
      <c r="AI200" s="47"/>
      <c r="AJ200" s="47"/>
      <c r="AK200" s="47"/>
      <c r="AL200" s="47"/>
      <c r="AM200" s="47"/>
      <c r="AN200" s="47"/>
      <c r="AO200" s="47"/>
    </row>
    <row r="201" spans="28:41" x14ac:dyDescent="0.25">
      <c r="AB201" s="47"/>
      <c r="AC201" s="47"/>
      <c r="AD201" s="47"/>
      <c r="AE201" s="47"/>
      <c r="AF201" s="47"/>
      <c r="AG201" s="47"/>
      <c r="AH201" s="47"/>
      <c r="AI201" s="47"/>
      <c r="AJ201" s="47"/>
      <c r="AK201" s="47"/>
      <c r="AL201" s="47"/>
      <c r="AM201" s="47"/>
      <c r="AN201" s="47"/>
      <c r="AO201" s="47"/>
    </row>
    <row r="202" spans="28:41" x14ac:dyDescent="0.25">
      <c r="AB202" s="47"/>
      <c r="AC202" s="47"/>
      <c r="AD202" s="47"/>
      <c r="AE202" s="47"/>
      <c r="AF202" s="47"/>
      <c r="AG202" s="47"/>
      <c r="AH202" s="47"/>
      <c r="AI202" s="47"/>
      <c r="AJ202" s="47"/>
      <c r="AK202" s="47"/>
      <c r="AL202" s="47"/>
      <c r="AM202" s="47"/>
      <c r="AN202" s="47"/>
      <c r="AO202" s="47"/>
    </row>
    <row r="203" spans="28:41" x14ac:dyDescent="0.25">
      <c r="AB203" s="47"/>
      <c r="AC203" s="47"/>
      <c r="AD203" s="47"/>
      <c r="AE203" s="47"/>
      <c r="AF203" s="47"/>
      <c r="AG203" s="47"/>
      <c r="AH203" s="47"/>
      <c r="AI203" s="47"/>
      <c r="AJ203" s="47"/>
      <c r="AK203" s="47"/>
      <c r="AL203" s="47"/>
      <c r="AM203" s="47"/>
      <c r="AN203" s="47"/>
      <c r="AO203" s="47"/>
    </row>
    <row r="204" spans="28:41" x14ac:dyDescent="0.25">
      <c r="AB204" s="47"/>
      <c r="AC204" s="47"/>
      <c r="AD204" s="47"/>
      <c r="AE204" s="47"/>
      <c r="AF204" s="47"/>
      <c r="AG204" s="47"/>
      <c r="AH204" s="47"/>
      <c r="AI204" s="47"/>
      <c r="AJ204" s="47"/>
      <c r="AK204" s="47"/>
      <c r="AL204" s="47"/>
      <c r="AM204" s="47"/>
      <c r="AN204" s="47"/>
      <c r="AO204" s="47"/>
    </row>
    <row r="205" spans="28:41" x14ac:dyDescent="0.25">
      <c r="AB205" s="47"/>
      <c r="AC205" s="47"/>
      <c r="AD205" s="47"/>
      <c r="AE205" s="47"/>
      <c r="AF205" s="47"/>
      <c r="AG205" s="47"/>
      <c r="AH205" s="47"/>
      <c r="AI205" s="47"/>
      <c r="AJ205" s="47"/>
      <c r="AK205" s="47"/>
      <c r="AL205" s="47"/>
      <c r="AM205" s="47"/>
      <c r="AN205" s="47"/>
      <c r="AO205" s="47"/>
    </row>
    <row r="206" spans="28:41" x14ac:dyDescent="0.25">
      <c r="AB206" s="47"/>
      <c r="AC206" s="47"/>
      <c r="AD206" s="47"/>
      <c r="AE206" s="47"/>
      <c r="AF206" s="47"/>
      <c r="AG206" s="47"/>
      <c r="AH206" s="47"/>
      <c r="AI206" s="47"/>
      <c r="AJ206" s="47"/>
      <c r="AK206" s="47"/>
      <c r="AL206" s="47"/>
      <c r="AM206" s="47"/>
      <c r="AN206" s="47"/>
      <c r="AO206" s="47"/>
    </row>
    <row r="207" spans="28:41" x14ac:dyDescent="0.25">
      <c r="AB207" s="47"/>
      <c r="AC207" s="47"/>
      <c r="AD207" s="47"/>
      <c r="AE207" s="47"/>
      <c r="AF207" s="47"/>
      <c r="AG207" s="47"/>
      <c r="AH207" s="47"/>
      <c r="AI207" s="47"/>
      <c r="AJ207" s="47"/>
      <c r="AK207" s="47"/>
      <c r="AL207" s="47"/>
      <c r="AM207" s="47"/>
      <c r="AN207" s="47"/>
      <c r="AO207" s="47"/>
    </row>
    <row r="208" spans="28:41" x14ac:dyDescent="0.25">
      <c r="AB208" s="47"/>
      <c r="AC208" s="47"/>
      <c r="AD208" s="47"/>
      <c r="AE208" s="47"/>
      <c r="AF208" s="47"/>
      <c r="AG208" s="47"/>
      <c r="AH208" s="47"/>
      <c r="AI208" s="47"/>
      <c r="AJ208" s="47"/>
      <c r="AK208" s="47"/>
      <c r="AL208" s="47"/>
      <c r="AM208" s="47"/>
      <c r="AN208" s="47"/>
      <c r="AO208" s="47"/>
    </row>
    <row r="209" spans="28:41" x14ac:dyDescent="0.25">
      <c r="AB209" s="47"/>
      <c r="AC209" s="47"/>
      <c r="AD209" s="47"/>
      <c r="AE209" s="47"/>
      <c r="AF209" s="47"/>
      <c r="AG209" s="47"/>
      <c r="AH209" s="47"/>
      <c r="AI209" s="47"/>
      <c r="AJ209" s="47"/>
      <c r="AK209" s="47"/>
      <c r="AL209" s="47"/>
      <c r="AM209" s="47"/>
      <c r="AN209" s="47"/>
      <c r="AO209" s="47"/>
    </row>
    <row r="210" spans="28:41" x14ac:dyDescent="0.25">
      <c r="AB210" s="47"/>
      <c r="AC210" s="47"/>
      <c r="AD210" s="47"/>
      <c r="AE210" s="47"/>
      <c r="AF210" s="47"/>
      <c r="AG210" s="47"/>
      <c r="AH210" s="47"/>
      <c r="AI210" s="47"/>
      <c r="AJ210" s="47"/>
      <c r="AK210" s="47"/>
      <c r="AL210" s="47"/>
      <c r="AM210" s="47"/>
      <c r="AN210" s="47"/>
      <c r="AO210" s="47"/>
    </row>
    <row r="211" spans="28:41" x14ac:dyDescent="0.25">
      <c r="AB211" s="47"/>
      <c r="AC211" s="47"/>
      <c r="AD211" s="47"/>
      <c r="AE211" s="47"/>
      <c r="AF211" s="47"/>
      <c r="AG211" s="47"/>
      <c r="AH211" s="47"/>
      <c r="AI211" s="47"/>
      <c r="AJ211" s="47"/>
      <c r="AK211" s="47"/>
      <c r="AL211" s="47"/>
      <c r="AM211" s="47"/>
      <c r="AN211" s="47"/>
      <c r="AO211" s="47"/>
    </row>
    <row r="212" spans="28:41" x14ac:dyDescent="0.25">
      <c r="AB212" s="47"/>
      <c r="AC212" s="47"/>
      <c r="AD212" s="47"/>
      <c r="AE212" s="47"/>
      <c r="AF212" s="47"/>
      <c r="AG212" s="47"/>
      <c r="AH212" s="47"/>
      <c r="AI212" s="47"/>
      <c r="AJ212" s="47"/>
      <c r="AK212" s="47"/>
      <c r="AL212" s="47"/>
      <c r="AM212" s="47"/>
      <c r="AN212" s="47"/>
      <c r="AO212" s="47"/>
    </row>
    <row r="213" spans="28:41" x14ac:dyDescent="0.25">
      <c r="AB213" s="47"/>
      <c r="AC213" s="47"/>
      <c r="AD213" s="47"/>
      <c r="AE213" s="47"/>
      <c r="AF213" s="47"/>
      <c r="AG213" s="47"/>
      <c r="AH213" s="47"/>
      <c r="AI213" s="47"/>
      <c r="AJ213" s="47"/>
      <c r="AK213" s="47"/>
      <c r="AL213" s="47"/>
      <c r="AM213" s="47"/>
      <c r="AN213" s="47"/>
      <c r="AO213" s="47"/>
    </row>
    <row r="214" spans="28:41" x14ac:dyDescent="0.25">
      <c r="AB214" s="47"/>
      <c r="AC214" s="47"/>
      <c r="AD214" s="47"/>
      <c r="AE214" s="47"/>
      <c r="AF214" s="47"/>
      <c r="AG214" s="47"/>
      <c r="AH214" s="47"/>
      <c r="AI214" s="47"/>
      <c r="AJ214" s="47"/>
      <c r="AK214" s="47"/>
      <c r="AL214" s="47"/>
      <c r="AM214" s="47"/>
      <c r="AN214" s="47"/>
      <c r="AO214" s="47"/>
    </row>
    <row r="215" spans="28:41" x14ac:dyDescent="0.25">
      <c r="AB215" s="47"/>
      <c r="AC215" s="47"/>
      <c r="AD215" s="47"/>
      <c r="AE215" s="47"/>
      <c r="AF215" s="47"/>
      <c r="AG215" s="47"/>
      <c r="AH215" s="47"/>
      <c r="AI215" s="47"/>
      <c r="AJ215" s="47"/>
      <c r="AK215" s="47"/>
      <c r="AL215" s="47"/>
      <c r="AM215" s="47"/>
      <c r="AN215" s="47"/>
      <c r="AO215" s="47"/>
    </row>
    <row r="216" spans="28:41" x14ac:dyDescent="0.25">
      <c r="AB216" s="47"/>
      <c r="AC216" s="47"/>
      <c r="AD216" s="47"/>
      <c r="AE216" s="47"/>
      <c r="AF216" s="47"/>
      <c r="AG216" s="47"/>
      <c r="AH216" s="47"/>
      <c r="AI216" s="47"/>
      <c r="AJ216" s="47"/>
      <c r="AK216" s="47"/>
      <c r="AL216" s="47"/>
      <c r="AM216" s="47"/>
      <c r="AN216" s="47"/>
      <c r="AO216" s="47"/>
    </row>
    <row r="217" spans="28:41" x14ac:dyDescent="0.25">
      <c r="AB217" s="47"/>
      <c r="AC217" s="47"/>
      <c r="AD217" s="47"/>
      <c r="AE217" s="47"/>
      <c r="AF217" s="47"/>
      <c r="AG217" s="47"/>
      <c r="AH217" s="47"/>
      <c r="AI217" s="47"/>
      <c r="AJ217" s="47"/>
      <c r="AK217" s="47"/>
      <c r="AL217" s="47"/>
      <c r="AM217" s="47"/>
      <c r="AN217" s="47"/>
      <c r="AO217" s="47"/>
    </row>
    <row r="218" spans="28:41" x14ac:dyDescent="0.25">
      <c r="AB218" s="47"/>
      <c r="AC218" s="47"/>
      <c r="AD218" s="47"/>
      <c r="AE218" s="47"/>
      <c r="AF218" s="47"/>
      <c r="AG218" s="47"/>
      <c r="AH218" s="47"/>
      <c r="AI218" s="47"/>
      <c r="AJ218" s="47"/>
      <c r="AK218" s="47"/>
      <c r="AL218" s="47"/>
      <c r="AM218" s="47"/>
      <c r="AN218" s="47"/>
      <c r="AO218" s="47"/>
    </row>
    <row r="219" spans="28:41" x14ac:dyDescent="0.25">
      <c r="AB219" s="47"/>
      <c r="AC219" s="47"/>
      <c r="AD219" s="47"/>
      <c r="AE219" s="47"/>
      <c r="AF219" s="47"/>
      <c r="AG219" s="47"/>
      <c r="AH219" s="47"/>
      <c r="AI219" s="47"/>
      <c r="AJ219" s="47"/>
      <c r="AK219" s="47"/>
      <c r="AL219" s="47"/>
      <c r="AM219" s="47"/>
      <c r="AN219" s="47"/>
      <c r="AO219" s="47"/>
    </row>
    <row r="220" spans="28:41" x14ac:dyDescent="0.25">
      <c r="AB220" s="47"/>
      <c r="AC220" s="47"/>
      <c r="AD220" s="47"/>
      <c r="AE220" s="47"/>
      <c r="AF220" s="47"/>
      <c r="AG220" s="47"/>
      <c r="AH220" s="47"/>
      <c r="AI220" s="47"/>
      <c r="AJ220" s="47"/>
      <c r="AK220" s="47"/>
      <c r="AL220" s="47"/>
      <c r="AM220" s="47"/>
      <c r="AN220" s="47"/>
      <c r="AO220" s="47"/>
    </row>
    <row r="221" spans="28:41" x14ac:dyDescent="0.25">
      <c r="AB221" s="47"/>
      <c r="AC221" s="47"/>
      <c r="AD221" s="47"/>
      <c r="AE221" s="47"/>
      <c r="AF221" s="47"/>
      <c r="AG221" s="47"/>
      <c r="AH221" s="47"/>
      <c r="AI221" s="47"/>
      <c r="AJ221" s="47"/>
      <c r="AK221" s="47"/>
      <c r="AL221" s="47"/>
      <c r="AM221" s="47"/>
      <c r="AN221" s="47"/>
      <c r="AO221" s="47"/>
    </row>
    <row r="241" spans="42:42" x14ac:dyDescent="0.25">
      <c r="AP241" s="44"/>
    </row>
    <row r="242" spans="42:42" x14ac:dyDescent="0.25">
      <c r="AP242" s="44"/>
    </row>
    <row r="243" spans="42:42" x14ac:dyDescent="0.25">
      <c r="AP243" s="44"/>
    </row>
    <row r="244" spans="42:42" x14ac:dyDescent="0.25">
      <c r="AP244" s="44"/>
    </row>
    <row r="245" spans="42:42" x14ac:dyDescent="0.25">
      <c r="AP245" s="44"/>
    </row>
  </sheetData>
  <sheetProtection algorithmName="SHA-512" hashValue="CuZ/NF4O7vNOUHXS/Bc5YfO369i4PS+pqR/bRH21zFk1ZjLWLb/Z82oEZ1S+n/kAFWYKE2XmjolsDVl01xkzgA==" saltValue="illp1iEZMkeVa4HY6x046g==" spinCount="100000" sheet="1" objects="1" scenarios="1" selectLockedCells="1"/>
  <dataConsolidate/>
  <mergeCells count="298">
    <mergeCell ref="AM99:AN99"/>
    <mergeCell ref="AI102:AJ102"/>
    <mergeCell ref="AM102:AN102"/>
    <mergeCell ref="AI108:AJ108"/>
    <mergeCell ref="AC108:AD108"/>
    <mergeCell ref="AE108:AF108"/>
    <mergeCell ref="BC2:BG4"/>
    <mergeCell ref="AC112:AF112"/>
    <mergeCell ref="AC111:AF111"/>
    <mergeCell ref="AG111:AJ111"/>
    <mergeCell ref="AG112:AJ112"/>
    <mergeCell ref="AM111:AO111"/>
    <mergeCell ref="AM112:AO112"/>
    <mergeCell ref="AK111:AL111"/>
    <mergeCell ref="AK112:AL112"/>
    <mergeCell ref="AC109:AD109"/>
    <mergeCell ref="AE109:AF109"/>
    <mergeCell ref="AG109:AH109"/>
    <mergeCell ref="AI109:AJ109"/>
    <mergeCell ref="AM109:AN109"/>
    <mergeCell ref="AC102:AD102"/>
    <mergeCell ref="AE102:AF102"/>
    <mergeCell ref="AG103:AH103"/>
    <mergeCell ref="AI103:AJ103"/>
    <mergeCell ref="AC101:AD101"/>
    <mergeCell ref="AE101:AF101"/>
    <mergeCell ref="AG101:AH101"/>
    <mergeCell ref="AI101:AJ101"/>
    <mergeCell ref="AM101:AN101"/>
    <mergeCell ref="AQ140:AX142"/>
    <mergeCell ref="AM108:AN108"/>
    <mergeCell ref="AC103:AD103"/>
    <mergeCell ref="AE103:AF103"/>
    <mergeCell ref="AG106:AH106"/>
    <mergeCell ref="AI106:AJ106"/>
    <mergeCell ref="AM106:AN106"/>
    <mergeCell ref="AG108:AH108"/>
    <mergeCell ref="AM103:AN103"/>
    <mergeCell ref="AC105:AD105"/>
    <mergeCell ref="AE105:AF105"/>
    <mergeCell ref="AG105:AH105"/>
    <mergeCell ref="AC88:AD88"/>
    <mergeCell ref="AC89:AD89"/>
    <mergeCell ref="AE89:AF89"/>
    <mergeCell ref="AC90:AD90"/>
    <mergeCell ref="AE90:AF90"/>
    <mergeCell ref="AM95:AN95"/>
    <mergeCell ref="AC96:AD96"/>
    <mergeCell ref="AE96:AF96"/>
    <mergeCell ref="AG96:AH96"/>
    <mergeCell ref="AG95:AH95"/>
    <mergeCell ref="AI95:AJ95"/>
    <mergeCell ref="AM89:AN89"/>
    <mergeCell ref="AM90:AN90"/>
    <mergeCell ref="AM91:AN91"/>
    <mergeCell ref="AM92:AN92"/>
    <mergeCell ref="AM93:AN93"/>
    <mergeCell ref="AM97:AN97"/>
    <mergeCell ref="AM98:AN98"/>
    <mergeCell ref="AC91:AD91"/>
    <mergeCell ref="AE91:AF91"/>
    <mergeCell ref="AC95:AD95"/>
    <mergeCell ref="AE95:AF95"/>
    <mergeCell ref="AC98:AD98"/>
    <mergeCell ref="AE98:AF98"/>
    <mergeCell ref="AG98:AH98"/>
    <mergeCell ref="AI98:AJ98"/>
    <mergeCell ref="AG85:AH85"/>
    <mergeCell ref="AI85:AJ85"/>
    <mergeCell ref="AM85:AN85"/>
    <mergeCell ref="AG86:AH86"/>
    <mergeCell ref="AI86:AJ86"/>
    <mergeCell ref="AM86:AN86"/>
    <mergeCell ref="AC93:AD93"/>
    <mergeCell ref="AE93:AF93"/>
    <mergeCell ref="AG88:AH88"/>
    <mergeCell ref="AI87:AJ87"/>
    <mergeCell ref="AG87:AH87"/>
    <mergeCell ref="AI88:AJ88"/>
    <mergeCell ref="AG89:AH89"/>
    <mergeCell ref="AI89:AJ89"/>
    <mergeCell ref="AG90:AH90"/>
    <mergeCell ref="AI90:AJ90"/>
    <mergeCell ref="AG91:AH91"/>
    <mergeCell ref="AI91:AJ91"/>
    <mergeCell ref="AG92:AH92"/>
    <mergeCell ref="AI92:AJ92"/>
    <mergeCell ref="AG93:AH93"/>
    <mergeCell ref="AI93:AJ93"/>
    <mergeCell ref="AM87:AN87"/>
    <mergeCell ref="AM88:AN88"/>
    <mergeCell ref="AM74:AN74"/>
    <mergeCell ref="AM75:AN75"/>
    <mergeCell ref="AM76:AN76"/>
    <mergeCell ref="AM77:AN77"/>
    <mergeCell ref="AE77:AF77"/>
    <mergeCell ref="AE78:AF78"/>
    <mergeCell ref="AE79:AF79"/>
    <mergeCell ref="AI78:AJ78"/>
    <mergeCell ref="AE80:AF80"/>
    <mergeCell ref="AM78:AN78"/>
    <mergeCell ref="AM79:AN79"/>
    <mergeCell ref="AG74:AH74"/>
    <mergeCell ref="AG75:AH75"/>
    <mergeCell ref="AG76:AH76"/>
    <mergeCell ref="AG77:AH77"/>
    <mergeCell ref="AI79:AJ79"/>
    <mergeCell ref="AI80:AJ80"/>
    <mergeCell ref="AG78:AH78"/>
    <mergeCell ref="AG79:AH79"/>
    <mergeCell ref="AG80:AH80"/>
    <mergeCell ref="AI74:AJ74"/>
    <mergeCell ref="AI75:AJ75"/>
    <mergeCell ref="AI76:AJ76"/>
    <mergeCell ref="AI77:AJ77"/>
    <mergeCell ref="AC87:AD87"/>
    <mergeCell ref="AE87:AF87"/>
    <mergeCell ref="AE88:AF88"/>
    <mergeCell ref="AM80:AN80"/>
    <mergeCell ref="AM81:AN81"/>
    <mergeCell ref="AC92:AD92"/>
    <mergeCell ref="AE92:AF92"/>
    <mergeCell ref="AB115:AP116"/>
    <mergeCell ref="AI96:AJ96"/>
    <mergeCell ref="AM96:AN96"/>
    <mergeCell ref="AC97:AD97"/>
    <mergeCell ref="AE97:AF97"/>
    <mergeCell ref="AG97:AH97"/>
    <mergeCell ref="AI97:AJ97"/>
    <mergeCell ref="AI99:AJ99"/>
    <mergeCell ref="AI105:AJ105"/>
    <mergeCell ref="AM105:AN105"/>
    <mergeCell ref="AC106:AD106"/>
    <mergeCell ref="AE106:AF106"/>
    <mergeCell ref="AC99:AD99"/>
    <mergeCell ref="AE99:AF99"/>
    <mergeCell ref="AG99:AH99"/>
    <mergeCell ref="AG102:AH102"/>
    <mergeCell ref="AE86:AF86"/>
    <mergeCell ref="AC86:AD86"/>
    <mergeCell ref="AC85:AD85"/>
    <mergeCell ref="AE85:AF85"/>
    <mergeCell ref="E31:Y31"/>
    <mergeCell ref="E32:Y32"/>
    <mergeCell ref="D33:Y33"/>
    <mergeCell ref="G55:U55"/>
    <mergeCell ref="W55:Y55"/>
    <mergeCell ref="G57:L57"/>
    <mergeCell ref="O57:U57"/>
    <mergeCell ref="G35:U35"/>
    <mergeCell ref="W35:Y35"/>
    <mergeCell ref="O41:U41"/>
    <mergeCell ref="G47:L47"/>
    <mergeCell ref="O47:U47"/>
    <mergeCell ref="O39:U39"/>
    <mergeCell ref="AE39:AF39"/>
    <mergeCell ref="AC37:AD37"/>
    <mergeCell ref="G36:K36"/>
    <mergeCell ref="G38:K38"/>
    <mergeCell ref="AE57:AF57"/>
    <mergeCell ref="G53:L53"/>
    <mergeCell ref="O53:U53"/>
    <mergeCell ref="G43:L43"/>
    <mergeCell ref="O60:U60"/>
    <mergeCell ref="AC79:AD79"/>
    <mergeCell ref="AC81:AD81"/>
    <mergeCell ref="AC78:AD78"/>
    <mergeCell ref="AC80:AD80"/>
    <mergeCell ref="AE74:AF74"/>
    <mergeCell ref="AE75:AF75"/>
    <mergeCell ref="AE76:AF76"/>
    <mergeCell ref="AC74:AD74"/>
    <mergeCell ref="AC75:AD75"/>
    <mergeCell ref="AC76:AD76"/>
    <mergeCell ref="AC77:AD77"/>
    <mergeCell ref="AE81:AF81"/>
    <mergeCell ref="AB63:AI65"/>
    <mergeCell ref="AI81:AJ81"/>
    <mergeCell ref="AG81:AH81"/>
    <mergeCell ref="AB57:AB62"/>
    <mergeCell ref="AK34:AO34"/>
    <mergeCell ref="AK11:AO12"/>
    <mergeCell ref="AK54:AO54"/>
    <mergeCell ref="AK50:AO50"/>
    <mergeCell ref="AC25:AD25"/>
    <mergeCell ref="AC29:AD29"/>
    <mergeCell ref="AE29:AF29"/>
    <mergeCell ref="AC49:AD49"/>
    <mergeCell ref="AE49:AF49"/>
    <mergeCell ref="AE41:AF41"/>
    <mergeCell ref="AE37:AF37"/>
    <mergeCell ref="AC39:AD39"/>
    <mergeCell ref="AE25:AF25"/>
    <mergeCell ref="AC27:AD27"/>
    <mergeCell ref="AE27:AF27"/>
    <mergeCell ref="AC47:AD47"/>
    <mergeCell ref="AE47:AF47"/>
    <mergeCell ref="AC53:AD53"/>
    <mergeCell ref="AE53:AF53"/>
    <mergeCell ref="AC41:AD41"/>
    <mergeCell ref="W45:Y45"/>
    <mergeCell ref="W51:Y51"/>
    <mergeCell ref="AC15:AD15"/>
    <mergeCell ref="AE15:AF15"/>
    <mergeCell ref="AC17:AD17"/>
    <mergeCell ref="AE17:AF17"/>
    <mergeCell ref="AC19:AD19"/>
    <mergeCell ref="AE19:AF19"/>
    <mergeCell ref="AC21:AD21"/>
    <mergeCell ref="AE21:AF21"/>
    <mergeCell ref="AC23:AD23"/>
    <mergeCell ref="AE23:AF23"/>
    <mergeCell ref="AQ4:BA4"/>
    <mergeCell ref="AQ2:BA3"/>
    <mergeCell ref="AH2:AJ4"/>
    <mergeCell ref="AK2:AO4"/>
    <mergeCell ref="AB2:AG4"/>
    <mergeCell ref="AK5:AO6"/>
    <mergeCell ref="AP5:AP6"/>
    <mergeCell ref="AH8:AJ10"/>
    <mergeCell ref="AH5:AJ5"/>
    <mergeCell ref="D9:J9"/>
    <mergeCell ref="L9:Y11"/>
    <mergeCell ref="D11:K12"/>
    <mergeCell ref="G23:L23"/>
    <mergeCell ref="G14:K14"/>
    <mergeCell ref="G22:K22"/>
    <mergeCell ref="O14:T14"/>
    <mergeCell ref="O18:T18"/>
    <mergeCell ref="O20:T20"/>
    <mergeCell ref="O22:T22"/>
    <mergeCell ref="G19:L19"/>
    <mergeCell ref="O19:U19"/>
    <mergeCell ref="G13:U13"/>
    <mergeCell ref="W13:Y13"/>
    <mergeCell ref="O23:U23"/>
    <mergeCell ref="O21:U21"/>
    <mergeCell ref="G21:L21"/>
    <mergeCell ref="G17:L17"/>
    <mergeCell ref="O17:U17"/>
    <mergeCell ref="G15:L15"/>
    <mergeCell ref="O15:U15"/>
    <mergeCell ref="G18:K18"/>
    <mergeCell ref="G16:K16"/>
    <mergeCell ref="G20:K20"/>
    <mergeCell ref="G24:K24"/>
    <mergeCell ref="G26:K26"/>
    <mergeCell ref="G28:K28"/>
    <mergeCell ref="O16:T16"/>
    <mergeCell ref="G27:L27"/>
    <mergeCell ref="O27:U27"/>
    <mergeCell ref="O28:T28"/>
    <mergeCell ref="O24:T24"/>
    <mergeCell ref="O26:T26"/>
    <mergeCell ref="O40:T40"/>
    <mergeCell ref="O25:U25"/>
    <mergeCell ref="G41:L41"/>
    <mergeCell ref="O38:T38"/>
    <mergeCell ref="O36:T36"/>
    <mergeCell ref="G51:U51"/>
    <mergeCell ref="G37:L37"/>
    <mergeCell ref="O37:U37"/>
    <mergeCell ref="G39:L39"/>
    <mergeCell ref="G49:L49"/>
    <mergeCell ref="O49:U49"/>
    <mergeCell ref="G45:U45"/>
    <mergeCell ref="G40:K40"/>
    <mergeCell ref="G42:K42"/>
    <mergeCell ref="G46:K46"/>
    <mergeCell ref="G48:K48"/>
    <mergeCell ref="G29:L29"/>
    <mergeCell ref="O29:U29"/>
    <mergeCell ref="G25:L25"/>
    <mergeCell ref="O43:U43"/>
    <mergeCell ref="AS143:AX143"/>
    <mergeCell ref="AU144:AV144"/>
    <mergeCell ref="G52:K52"/>
    <mergeCell ref="G56:K56"/>
    <mergeCell ref="O56:T56"/>
    <mergeCell ref="O52:T52"/>
    <mergeCell ref="O48:T48"/>
    <mergeCell ref="O46:T46"/>
    <mergeCell ref="O42:T42"/>
    <mergeCell ref="AC43:AD43"/>
    <mergeCell ref="AE43:AF43"/>
    <mergeCell ref="O59:U59"/>
    <mergeCell ref="AK44:AO44"/>
    <mergeCell ref="AG73:AH73"/>
    <mergeCell ref="AI73:AJ73"/>
    <mergeCell ref="AM73:AN73"/>
    <mergeCell ref="AL71:AM71"/>
    <mergeCell ref="AL70:AO70"/>
    <mergeCell ref="AL68:AP69"/>
    <mergeCell ref="AL66:AO67"/>
    <mergeCell ref="AC73:AD73"/>
    <mergeCell ref="AE73:AF73"/>
    <mergeCell ref="AE60:AF60"/>
    <mergeCell ref="AC57:AD57"/>
  </mergeCells>
  <conditionalFormatting sqref="D3 Y3 D5 D63 Y63">
    <cfRule type="expression" dxfId="28" priority="1">
      <formula>$A$1="A255255255"</formula>
    </cfRule>
    <cfRule type="expression" dxfId="27" priority="2">
      <formula>$A$1="A000000000"</formula>
    </cfRule>
  </conditionalFormatting>
  <conditionalFormatting sqref="D7">
    <cfRule type="expression" dxfId="26" priority="3">
      <formula>OR($AI$6=0,$AJ$62=1)</formula>
    </cfRule>
  </conditionalFormatting>
  <conditionalFormatting sqref="G14:L14 G16:L16 G18:L18 G20:L20 G22:L22 G24:L24 G26:L26 G28:L28 G36:L36 G38:L38 G40:L40 G42:L42 G46:L46 G48:L48 G52:L52 G56:L56">
    <cfRule type="expression" dxfId="25" priority="4">
      <formula>$AK14="ONGELDIG"</formula>
    </cfRule>
    <cfRule type="expression" dxfId="24" priority="5">
      <formula>$AK14="LEEG"</formula>
    </cfRule>
    <cfRule type="expression" dxfId="23" priority="6">
      <formula>$AK14="GOED"</formula>
    </cfRule>
  </conditionalFormatting>
  <conditionalFormatting sqref="O14:U14 O16:U16 O18:U18 O20:U20 O22:U22 O24:U24 O26:U26 O28:U28 O36:U36 O38:U38 O40:U40 O42:U42 O46:U46 O48:U48 O52:U52 O56:U56 G59:U59">
    <cfRule type="expression" dxfId="22" priority="7">
      <formula>$AL14="ONGELDIG"</formula>
    </cfRule>
    <cfRule type="expression" dxfId="21" priority="8">
      <formula>$AL14="LEEG"</formula>
    </cfRule>
    <cfRule type="expression" dxfId="20" priority="9">
      <formula>$AL14="GOED"</formula>
    </cfRule>
  </conditionalFormatting>
  <conditionalFormatting sqref="W14 W16 W18 W20 W22 W24 W26 W28 W36 W38 W40 W42 W46 W48 W52 W56">
    <cfRule type="expression" dxfId="19" priority="25">
      <formula>$AM14="ONGELDIG"</formula>
    </cfRule>
    <cfRule type="expression" dxfId="18" priority="26">
      <formula>$AM14="LEEG"</formula>
    </cfRule>
    <cfRule type="expression" dxfId="17" priority="27">
      <formula>$AM14="GOED"</formula>
    </cfRule>
  </conditionalFormatting>
  <conditionalFormatting sqref="Y14 Y16 Y18 Y20 Y22 Y24 Y26 Y28 Y36 Y38 Y40 Y42 Y46 Y48 Y52 Y56">
    <cfRule type="expression" dxfId="16" priority="139">
      <formula>$AN14="ONGELDIG"</formula>
    </cfRule>
    <cfRule type="expression" dxfId="15" priority="140">
      <formula>$AN14="LEEG"</formula>
    </cfRule>
    <cfRule type="expression" dxfId="14" priority="141">
      <formula>$AN14="GOED"</formula>
    </cfRule>
  </conditionalFormatting>
  <dataValidations count="28">
    <dataValidation type="list" allowBlank="1" showInputMessage="1" showErrorMessage="1" sqref="D9" xr:uid="{00000000-0002-0000-1200-000000000000}">
      <formula1>$AC$6:$AC$8</formula1>
    </dataValidation>
    <dataValidation type="list" allowBlank="1" showInputMessage="1" showErrorMessage="1" sqref="L14 L16" xr:uid="{00000000-0002-0000-1200-000001000000}">
      <formula1>$AQ$13:$AQ$17</formula1>
    </dataValidation>
    <dataValidation type="list" allowBlank="1" showInputMessage="1" showErrorMessage="1" sqref="U22 L26" xr:uid="{00000000-0002-0000-1200-000002000000}">
      <formula1>$AQ$33:$AQ$37</formula1>
    </dataValidation>
    <dataValidation type="list" allowBlank="1" showInputMessage="1" showErrorMessage="1" sqref="U28 L24" xr:uid="{00000000-0002-0000-1200-000003000000}">
      <formula1>$AQ$38:$AQ$42</formula1>
    </dataValidation>
    <dataValidation type="list" allowBlank="1" showInputMessage="1" showErrorMessage="1" sqref="L28 L22" xr:uid="{00000000-0002-0000-1200-000004000000}">
      <formula1>$AQ$28:$AQ$32</formula1>
    </dataValidation>
    <dataValidation type="list" allowBlank="1" showInputMessage="1" showErrorMessage="1" sqref="U16 L18" xr:uid="{00000000-0002-0000-1200-000005000000}">
      <formula1>$AQ$23:$AQ$27</formula1>
    </dataValidation>
    <dataValidation type="list" allowBlank="1" showInputMessage="1" showErrorMessage="1" sqref="L20 U14" xr:uid="{00000000-0002-0000-1200-000006000000}">
      <formula1>$AQ$18:$AQ$22</formula1>
    </dataValidation>
    <dataValidation type="list" allowBlank="1" showInputMessage="1" showErrorMessage="1" sqref="U24" xr:uid="{00000000-0002-0000-1200-000009000000}">
      <formula1>$AW$10:$AW$27</formula1>
    </dataValidation>
    <dataValidation type="list" allowBlank="1" showInputMessage="1" showErrorMessage="1" sqref="L46" xr:uid="{00000000-0002-0000-1200-000013000000}">
      <formula1>$AS$72:$AS$105</formula1>
    </dataValidation>
    <dataValidation type="list" allowBlank="1" showInputMessage="1" showErrorMessage="1" sqref="U46" xr:uid="{00000000-0002-0000-1200-000014000000}">
      <formula1>$AU$72:$AU$105</formula1>
    </dataValidation>
    <dataValidation type="list" allowBlank="1" showInputMessage="1" showErrorMessage="1" sqref="L48" xr:uid="{00000000-0002-0000-1200-000015000000}">
      <formula1>$AW$72:$AW$105</formula1>
    </dataValidation>
    <dataValidation type="list" allowBlank="1" showInputMessage="1" showErrorMessage="1" sqref="U48" xr:uid="{00000000-0002-0000-1200-000016000000}">
      <formula1>$AY$72:$AY$105</formula1>
    </dataValidation>
    <dataValidation type="list" allowBlank="1" showInputMessage="1" showErrorMessage="1" sqref="L52" xr:uid="{00000000-0002-0000-1200-000017000000}">
      <formula1>$AS$106:$AS$139</formula1>
    </dataValidation>
    <dataValidation type="list" allowBlank="1" showInputMessage="1" showErrorMessage="1" sqref="U52" xr:uid="{00000000-0002-0000-1200-000018000000}">
      <formula1>$AU$106:$AU$139</formula1>
    </dataValidation>
    <dataValidation type="list" allowBlank="1" showInputMessage="1" showErrorMessage="1" sqref="L56" xr:uid="{00000000-0002-0000-1200-000019000000}">
      <formula1>$AW$106:$AW$139</formula1>
    </dataValidation>
    <dataValidation type="list" allowBlank="1" showInputMessage="1" showErrorMessage="1" sqref="U56" xr:uid="{00000000-0002-0000-1200-00001A000000}">
      <formula1>$AY$106:$AY$139</formula1>
    </dataValidation>
    <dataValidation type="list" allowBlank="1" showInputMessage="1" showErrorMessage="1" sqref="O59:U59" xr:uid="{00000000-0002-0000-1200-00001B000000}">
      <formula1>$AQ$106:$AQ$139</formula1>
    </dataValidation>
    <dataValidation type="list" allowBlank="1" showInputMessage="1" showErrorMessage="1" sqref="L36" xr:uid="{00000000-0002-0000-1200-00000B000000}">
      <formula1>$AS$28:$AS$49</formula1>
    </dataValidation>
    <dataValidation type="list" allowBlank="1" showInputMessage="1" showErrorMessage="1" sqref="U36" xr:uid="{00000000-0002-0000-1200-00000C000000}">
      <formula1>$AU$28:$AU$49</formula1>
    </dataValidation>
    <dataValidation type="list" allowBlank="1" showInputMessage="1" showErrorMessage="1" sqref="L38" xr:uid="{00000000-0002-0000-1200-00000D000000}">
      <formula1>$AW$28:$AW$49</formula1>
    </dataValidation>
    <dataValidation type="list" allowBlank="1" showInputMessage="1" showErrorMessage="1" sqref="U38" xr:uid="{00000000-0002-0000-1200-00000E000000}">
      <formula1>$AY$28:$AY$49</formula1>
    </dataValidation>
    <dataValidation type="list" allowBlank="1" showInputMessage="1" showErrorMessage="1" sqref="L40" xr:uid="{00000000-0002-0000-1200-00000F000000}">
      <formula1>$AS$50:$AS$71</formula1>
    </dataValidation>
    <dataValidation type="list" allowBlank="1" showInputMessage="1" showErrorMessage="1" sqref="L42" xr:uid="{00000000-0002-0000-1200-000010000000}">
      <formula1>$AW$50:$AW$71</formula1>
    </dataValidation>
    <dataValidation type="list" allowBlank="1" showInputMessage="1" showErrorMessage="1" sqref="U40" xr:uid="{00000000-0002-0000-1200-000011000000}">
      <formula1>$AU$50:$AU$71</formula1>
    </dataValidation>
    <dataValidation type="list" allowBlank="1" showInputMessage="1" showErrorMessage="1" sqref="U42" xr:uid="{00000000-0002-0000-1200-000012000000}">
      <formula1>$AY$50:$AY$71</formula1>
    </dataValidation>
    <dataValidation type="list" allowBlank="1" showInputMessage="1" showErrorMessage="1" sqref="U18" xr:uid="{F3582C32-6F30-4A70-BA9A-443ED5E3D613}">
      <formula1>$AS$10:$AS$27</formula1>
    </dataValidation>
    <dataValidation type="list" allowBlank="1" showInputMessage="1" showErrorMessage="1" sqref="U20" xr:uid="{F9FF6523-E81E-4835-B3A0-7844D74B2901}">
      <formula1>$AU$10:$AU$27</formula1>
    </dataValidation>
    <dataValidation type="list" allowBlank="1" showInputMessage="1" showErrorMessage="1" sqref="U26" xr:uid="{6783CE42-9705-4965-8327-F896109666B3}">
      <formula1>$AY$10:$AY$27</formula1>
    </dataValidation>
  </dataValidations>
  <hyperlinks>
    <hyperlink ref="D33" r:id="rId1" display="www.excel-pool.nl/4beste3" xr:uid="{00000000-0004-0000-1200-000000000000}"/>
  </hyperlinks>
  <printOptions horizontalCentered="1"/>
  <pageMargins left="0.19685039370078741" right="0.19685039370078741" top="0.39370078740157483" bottom="0.39370078740157483" header="0.31496062992125984" footer="0.31496062992125984"/>
  <pageSetup paperSize="9" scale="8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C5F38-AE94-4CE5-B3D2-9F56E0D60F38}">
  <sheetPr codeName="Blad5">
    <tabColor rgb="FF0050A0"/>
  </sheetPr>
  <dimension ref="A1:AQ230"/>
  <sheetViews>
    <sheetView showRowColHeaders="0" zoomScaleNormal="100" workbookViewId="0"/>
  </sheetViews>
  <sheetFormatPr defaultColWidth="9.140625" defaultRowHeight="15" x14ac:dyDescent="0.25"/>
  <cols>
    <col min="1" max="4" width="2.7109375" style="44" customWidth="1"/>
    <col min="5" max="5" width="26.7109375" style="44" customWidth="1"/>
    <col min="6" max="6" width="2.7109375" style="44" customWidth="1"/>
    <col min="7" max="7" width="19.7109375" style="44" customWidth="1"/>
    <col min="8" max="11" width="2.7109375" style="44" customWidth="1"/>
    <col min="12" max="12" width="13.7109375" style="44" customWidth="1"/>
    <col min="13" max="13" width="17.7109375" style="44" customWidth="1"/>
    <col min="14" max="14" width="5.7109375" style="44" customWidth="1"/>
    <col min="15" max="17" width="2.7109375" style="44" customWidth="1"/>
    <col min="18" max="18" width="4.7109375" style="929" customWidth="1"/>
    <col min="19" max="19" width="16.7109375" style="47" hidden="1" customWidth="1"/>
    <col min="20" max="20" width="16.7109375" style="44" hidden="1" customWidth="1"/>
    <col min="21" max="21" width="3.7109375" style="44" customWidth="1"/>
    <col min="22" max="22" width="13.7109375" style="44" customWidth="1"/>
    <col min="23" max="25" width="8.7109375" style="44" customWidth="1"/>
    <col min="26" max="26" width="3.7109375" style="44" customWidth="1"/>
    <col min="27"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c r="R1" s="93"/>
      <c r="Y1" s="300"/>
      <c r="Z1" s="300"/>
      <c r="AA1" s="300"/>
    </row>
    <row r="2" spans="1:43" ht="15" customHeight="1" x14ac:dyDescent="0.25">
      <c r="B2" s="17"/>
      <c r="C2" s="1251" t="str">
        <f ca="1">IF(T3=1,"",UPPER(Taal04!B271))</f>
        <v>DIT WERKBLAD IS NIET VAN TOEPASSING. DE ORGANISATOR HEEFT GEKOZEN OM DE TEAMS FUNCTIE NIET TE GEBRUIKEN.</v>
      </c>
      <c r="D2" s="1251"/>
      <c r="E2" s="1251"/>
      <c r="F2" s="1251"/>
      <c r="G2" s="1251"/>
      <c r="H2" s="1251"/>
      <c r="I2" s="1251"/>
      <c r="J2" s="1251"/>
      <c r="K2" s="1251"/>
      <c r="L2" s="1251"/>
      <c r="M2" s="1251"/>
      <c r="N2" s="1251"/>
      <c r="O2" s="1251"/>
      <c r="P2" s="1251"/>
      <c r="Q2" s="17"/>
      <c r="R2" s="927"/>
      <c r="S2" s="296" t="s">
        <v>1968</v>
      </c>
      <c r="T2" s="931" t="s">
        <v>2499</v>
      </c>
      <c r="U2" s="1033" t="str">
        <f ca="1">Taal01!$B$56</f>
        <v>Teams</v>
      </c>
      <c r="V2" s="1033"/>
      <c r="W2" s="1033"/>
      <c r="X2" s="1033"/>
      <c r="Y2" s="1033"/>
      <c r="Z2" s="300"/>
    </row>
    <row r="3" spans="1:43" ht="15" customHeight="1" x14ac:dyDescent="0.25">
      <c r="B3" s="17"/>
      <c r="C3" s="974"/>
      <c r="D3" s="989" t="str">
        <f ca="1">Taal04!B7&amp;" - "&amp;Taal04!B12</f>
        <v>Excel Deelname Formulier - Teams</v>
      </c>
      <c r="E3" s="989"/>
      <c r="F3" s="989"/>
      <c r="G3" s="989"/>
      <c r="H3" s="989"/>
      <c r="I3" s="989"/>
      <c r="J3" s="989"/>
      <c r="K3" s="989"/>
      <c r="L3" s="989"/>
      <c r="M3" s="989"/>
      <c r="N3" s="989"/>
      <c r="O3" s="990" t="str">
        <f ca="1">IF(Reglement!M3="","",Reglement!M3)</f>
        <v>EURO 2024: Jamilo EK-pool</v>
      </c>
      <c r="P3" s="978"/>
      <c r="Q3" s="17"/>
      <c r="R3" s="928">
        <v>1</v>
      </c>
      <c r="S3" s="296" t="s">
        <v>1969</v>
      </c>
      <c r="T3" s="735">
        <f>IF(OR(ISBLANK(T2),T2=""),0,IF(AND(LEFT(T2,1)="&lt;",RIGHT(LEFT(T2,2),1)*1=1,RIGHT(LEFT(T2,3),1)="|",AND(ISNUMBER(RIGHT(LEFT(T2,5),2)*1),RIGHT(LEFT(T2,5),2)*1&gt;=0,RIGHT(LEFT(T2,5),2)*1&lt;=20),RIGHT(LEFT(T2,6),1)="|",RIGHT(LEFT(T2,7),1)*1=1,RIGHT(LEFT(T2,8),1)="|",AND(ISNUMBER(RIGHT(LEFT(T2,10),2)*1),RIGHT(LEFT(T2,10),2)*1&gt;=0,RIGHT(LEFT(T2,10),2)*1&lt;=20),RIGHT(LEFT(T2,11),1)="|",AND(ISNUMBER(RIGHT(LEFT(T2,13),2)*1),RIGHT(LEFT(T2,13),2)*1&gt;=0,RIGHT(LEFT(T2,13),2)*1&lt;=20),RIGHT(LEFT(T2,14),1)="&gt;"),1,0))*1</f>
        <v>0</v>
      </c>
      <c r="U3" s="1033"/>
      <c r="V3" s="1033"/>
      <c r="W3" s="1033"/>
      <c r="X3" s="1033"/>
      <c r="Y3" s="1033"/>
      <c r="Z3" s="300"/>
    </row>
    <row r="4" spans="1:43" ht="15" customHeight="1" x14ac:dyDescent="0.25">
      <c r="B4" s="17"/>
      <c r="C4" s="16"/>
      <c r="D4" s="16"/>
      <c r="E4" s="16"/>
      <c r="F4" s="16"/>
      <c r="G4" s="16"/>
      <c r="H4" s="16"/>
      <c r="I4" s="16"/>
      <c r="J4" s="16"/>
      <c r="K4" s="16"/>
      <c r="L4" s="16"/>
      <c r="M4" s="16"/>
      <c r="N4" s="16"/>
      <c r="O4" s="16"/>
      <c r="P4" s="16"/>
      <c r="Q4" s="17"/>
      <c r="R4" s="928">
        <v>1</v>
      </c>
      <c r="S4" s="296" t="s">
        <v>1970</v>
      </c>
      <c r="T4" s="235">
        <f>IF(T3=1,RIGHT(LEFT(T2,5),2)*1,0)</f>
        <v>0</v>
      </c>
      <c r="U4" s="1033"/>
      <c r="V4" s="1033"/>
      <c r="W4" s="1033"/>
      <c r="X4" s="1033"/>
      <c r="Y4" s="1033"/>
      <c r="Z4" s="300"/>
    </row>
    <row r="5" spans="1:43" ht="15" customHeight="1" x14ac:dyDescent="0.25">
      <c r="B5" s="17"/>
      <c r="C5" s="974"/>
      <c r="D5" s="989" t="str">
        <f ca="1">Taal04!B235</f>
        <v>De Teams</v>
      </c>
      <c r="E5" s="989"/>
      <c r="F5" s="989"/>
      <c r="G5" s="989"/>
      <c r="H5" s="989"/>
      <c r="I5" s="989"/>
      <c r="J5" s="989"/>
      <c r="K5" s="989"/>
      <c r="L5" s="989"/>
      <c r="M5" s="989"/>
      <c r="N5" s="989"/>
      <c r="O5" s="989"/>
      <c r="P5" s="978"/>
      <c r="Q5" s="17"/>
      <c r="R5" s="928">
        <v>1</v>
      </c>
      <c r="S5" s="296" t="s">
        <v>1971</v>
      </c>
      <c r="T5" s="235">
        <f>IF(T3=1,RIGHT(LEFT(T2,10),2)*1,0)</f>
        <v>0</v>
      </c>
      <c r="U5" s="932"/>
      <c r="V5" s="933"/>
      <c r="W5" s="933"/>
      <c r="X5" s="933"/>
      <c r="Y5" s="933"/>
      <c r="Z5" s="933"/>
      <c r="AA5" s="479"/>
      <c r="AB5" s="479"/>
      <c r="AC5" s="479"/>
      <c r="AD5" s="479"/>
      <c r="AE5" s="479"/>
      <c r="AF5" s="479"/>
      <c r="AG5" s="479"/>
      <c r="AH5" s="479"/>
      <c r="AI5" s="479"/>
      <c r="AJ5" s="479"/>
      <c r="AK5" s="479"/>
      <c r="AL5" s="479"/>
      <c r="AM5" s="479"/>
      <c r="AN5" s="479"/>
      <c r="AO5" s="479"/>
      <c r="AP5" s="479"/>
      <c r="AQ5" s="479"/>
    </row>
    <row r="6" spans="1:43" ht="15" customHeight="1" x14ac:dyDescent="0.25">
      <c r="B6" s="17"/>
      <c r="C6" s="947"/>
      <c r="D6" s="16"/>
      <c r="E6" s="16"/>
      <c r="F6" s="16"/>
      <c r="G6" s="16"/>
      <c r="H6" s="16"/>
      <c r="I6" s="16"/>
      <c r="J6" s="16"/>
      <c r="K6" s="16"/>
      <c r="L6" s="16"/>
      <c r="M6" s="16"/>
      <c r="N6" s="16"/>
      <c r="O6" s="16"/>
      <c r="P6" s="948"/>
      <c r="Q6" s="17"/>
      <c r="R6" s="928">
        <v>1</v>
      </c>
      <c r="S6" s="296" t="s">
        <v>1972</v>
      </c>
      <c r="T6" s="235">
        <f>IF(T3=1,RIGHT(LEFT(T2,13),2)*1,0)</f>
        <v>0</v>
      </c>
      <c r="U6" s="934"/>
      <c r="V6" s="933"/>
      <c r="W6" s="933"/>
      <c r="X6" s="933"/>
      <c r="Y6" s="933"/>
      <c r="Z6" s="933"/>
      <c r="AA6" s="479"/>
      <c r="AB6" s="479"/>
      <c r="AC6" s="479"/>
      <c r="AD6" s="479"/>
      <c r="AE6" s="479"/>
      <c r="AF6" s="479"/>
      <c r="AG6" s="479"/>
      <c r="AH6" s="479"/>
      <c r="AI6" s="479"/>
      <c r="AJ6" s="479"/>
      <c r="AK6" s="479"/>
      <c r="AL6" s="479"/>
      <c r="AM6" s="479"/>
      <c r="AN6" s="479"/>
      <c r="AO6" s="479"/>
      <c r="AP6" s="479"/>
      <c r="AQ6" s="479"/>
    </row>
    <row r="7" spans="1:43" ht="15" customHeight="1" x14ac:dyDescent="0.25">
      <c r="B7" s="17"/>
      <c r="C7" s="949"/>
      <c r="D7" s="1077" t="str">
        <f ca="1">Taal04!B236</f>
        <v>Om een extra dimensie aan de pool en het toernooi te geven heeft de organisator de pool de teams functie ingeschakeld. Met deze functie kunt u in groepen/teams voor de eer strijden waarbij iedere speeldag de gemiddelde score per team berekend wordt.</v>
      </c>
      <c r="E7" s="1077"/>
      <c r="F7" s="1077"/>
      <c r="G7" s="1077"/>
      <c r="H7" s="1077"/>
      <c r="I7" s="1077"/>
      <c r="J7" s="1077"/>
      <c r="K7" s="1077"/>
      <c r="L7" s="1077"/>
      <c r="M7" s="1077"/>
      <c r="N7" s="1077"/>
      <c r="O7" s="1077"/>
      <c r="P7" s="60"/>
      <c r="Q7" s="17"/>
      <c r="R7" s="928">
        <v>1</v>
      </c>
      <c r="S7" s="296" t="s">
        <v>1977</v>
      </c>
      <c r="T7" s="296" t="str" cm="1">
        <f t="array" aca="1" ref="T7" ca="1">IF(AND(T3=1,T5&gt;0),INDIRECT("Taal04!B"&amp;241+T5),"")</f>
        <v/>
      </c>
      <c r="U7" s="934"/>
      <c r="V7" s="934"/>
      <c r="W7" s="933"/>
      <c r="X7" s="933"/>
      <c r="Y7" s="933"/>
      <c r="Z7" s="933"/>
      <c r="AA7" s="479"/>
      <c r="AB7" s="479"/>
      <c r="AC7" s="479"/>
      <c r="AD7" s="479"/>
      <c r="AE7" s="479"/>
      <c r="AF7" s="479"/>
      <c r="AG7" s="479"/>
      <c r="AH7" s="479"/>
      <c r="AI7" s="479"/>
      <c r="AJ7" s="479"/>
      <c r="AK7" s="479"/>
      <c r="AL7" s="479"/>
      <c r="AM7" s="479"/>
      <c r="AN7" s="479"/>
      <c r="AO7" s="479"/>
      <c r="AP7" s="479"/>
      <c r="AQ7" s="479"/>
    </row>
    <row r="8" spans="1:43" ht="15" customHeight="1" x14ac:dyDescent="0.25">
      <c r="B8" s="17"/>
      <c r="C8" s="949"/>
      <c r="D8" s="1077"/>
      <c r="E8" s="1077"/>
      <c r="F8" s="1077"/>
      <c r="G8" s="1077"/>
      <c r="H8" s="1077"/>
      <c r="I8" s="1077"/>
      <c r="J8" s="1077"/>
      <c r="K8" s="1077"/>
      <c r="L8" s="1077"/>
      <c r="M8" s="1077"/>
      <c r="N8" s="1077"/>
      <c r="O8" s="1077"/>
      <c r="P8" s="60"/>
      <c r="Q8" s="17"/>
      <c r="R8" s="928">
        <v>1</v>
      </c>
      <c r="S8" s="296" t="s">
        <v>1978</v>
      </c>
      <c r="T8" s="296" t="str" cm="1">
        <f t="array" aca="1" ref="T8" ca="1">IF(AND(T3=1,T6&gt;0),INDIRECT("Taal04!B"&amp;241+T6),"")</f>
        <v/>
      </c>
      <c r="U8" s="934"/>
      <c r="V8" s="934"/>
      <c r="W8" s="933"/>
      <c r="X8" s="933"/>
      <c r="Y8" s="933"/>
      <c r="Z8" s="933"/>
      <c r="AA8" s="479"/>
      <c r="AB8" s="479"/>
      <c r="AC8" s="479"/>
      <c r="AD8" s="479"/>
      <c r="AE8" s="479"/>
      <c r="AF8" s="479"/>
      <c r="AG8" s="479"/>
      <c r="AH8" s="479"/>
      <c r="AI8" s="479"/>
      <c r="AJ8" s="479"/>
      <c r="AK8" s="479"/>
      <c r="AL8" s="479"/>
      <c r="AM8" s="479"/>
      <c r="AN8" s="479"/>
      <c r="AO8" s="479"/>
      <c r="AP8" s="479"/>
      <c r="AQ8" s="479"/>
    </row>
    <row r="9" spans="1:43" ht="15" customHeight="1" x14ac:dyDescent="0.25">
      <c r="B9" s="17"/>
      <c r="C9" s="949"/>
      <c r="D9" s="1077"/>
      <c r="E9" s="1077"/>
      <c r="F9" s="1077"/>
      <c r="G9" s="1077"/>
      <c r="H9" s="1077"/>
      <c r="I9" s="1077"/>
      <c r="J9" s="1077"/>
      <c r="K9" s="1077"/>
      <c r="L9" s="1077"/>
      <c r="M9" s="1077"/>
      <c r="N9" s="1077"/>
      <c r="O9" s="1077"/>
      <c r="P9" s="60"/>
      <c r="Q9" s="17"/>
      <c r="R9" s="928">
        <v>1</v>
      </c>
      <c r="S9" s="296" t="str">
        <f>"@@@"</f>
        <v>@@@</v>
      </c>
      <c r="T9" s="296" t="str">
        <f>IF(T3=1,IF(OR(AND(T5=1,T6=0),AND(T5=0,T6=1),AND(T5=1,T6=1)),Taal04!B262,Taal04!B263),"")</f>
        <v/>
      </c>
      <c r="U9" s="934"/>
      <c r="V9" s="934"/>
      <c r="W9" s="933"/>
      <c r="X9" s="933"/>
      <c r="Y9" s="933"/>
      <c r="Z9" s="933"/>
      <c r="AA9" s="479"/>
      <c r="AB9" s="479"/>
      <c r="AC9" s="479"/>
      <c r="AD9" s="479"/>
      <c r="AE9" s="479"/>
      <c r="AF9" s="479"/>
      <c r="AG9" s="479"/>
      <c r="AH9" s="479"/>
      <c r="AI9" s="479"/>
      <c r="AJ9" s="479"/>
      <c r="AK9" s="479"/>
      <c r="AL9" s="479"/>
      <c r="AM9" s="479"/>
      <c r="AN9" s="479"/>
      <c r="AO9" s="479"/>
      <c r="AP9" s="479"/>
      <c r="AQ9" s="479"/>
    </row>
    <row r="10" spans="1:43" ht="15" customHeight="1" x14ac:dyDescent="0.25">
      <c r="B10" s="17"/>
      <c r="C10" s="949"/>
      <c r="D10" s="17"/>
      <c r="E10" s="17"/>
      <c r="F10" s="17"/>
      <c r="G10" s="17"/>
      <c r="H10" s="17"/>
      <c r="I10" s="17"/>
      <c r="J10" s="17"/>
      <c r="K10" s="17"/>
      <c r="L10" s="17"/>
      <c r="M10" s="17"/>
      <c r="N10" s="17"/>
      <c r="O10" s="17"/>
      <c r="P10" s="60"/>
      <c r="Q10" s="17"/>
      <c r="R10" s="928">
        <v>1</v>
      </c>
      <c r="S10" s="296" t="s">
        <v>1979</v>
      </c>
      <c r="T10" s="589" t="str">
        <f>IF(AND(T3=1,T5=0,T6=0),Taal04!B237,IF(AND(T3=1,T5&gt;0,T6=0),Taal04!B238,IF(AND(T3=1,T5=0,T6&gt;0),Taal04!B239,IF(AND(T3=1,T5&gt;0,T6&gt;0,T5&lt;&gt;T6),Taal04!B240,IF(AND(T3=1,T5&gt;0,T6&gt;0,T5=T6),Taal04!B241,"")))))</f>
        <v/>
      </c>
      <c r="U10" s="934"/>
      <c r="V10" s="934"/>
      <c r="W10" s="933"/>
      <c r="X10" s="933"/>
      <c r="Y10" s="933"/>
      <c r="Z10" s="933"/>
      <c r="AA10" s="479"/>
      <c r="AB10" s="479"/>
      <c r="AC10" s="479"/>
      <c r="AD10" s="479"/>
      <c r="AE10" s="479"/>
      <c r="AF10" s="479"/>
      <c r="AG10" s="479"/>
      <c r="AH10" s="479"/>
      <c r="AI10" s="479"/>
      <c r="AJ10" s="479"/>
      <c r="AK10" s="479"/>
      <c r="AL10" s="479"/>
      <c r="AM10" s="479"/>
      <c r="AN10" s="479"/>
      <c r="AO10" s="479"/>
      <c r="AP10" s="479"/>
      <c r="AQ10" s="479"/>
    </row>
    <row r="11" spans="1:43" ht="15" customHeight="1" x14ac:dyDescent="0.25">
      <c r="B11" s="17"/>
      <c r="C11" s="949"/>
      <c r="D11" s="1254" t="str">
        <f ca="1">SUBSTITUTE(SUBSTITUTE(SUBSTITUTE(T10,S7,T7),S8,T8),S9,T9)</f>
        <v/>
      </c>
      <c r="E11" s="1254"/>
      <c r="F11" s="1254"/>
      <c r="G11" s="1254"/>
      <c r="H11" s="1254"/>
      <c r="I11" s="1254"/>
      <c r="J11" s="1254"/>
      <c r="K11" s="1254"/>
      <c r="L11" s="1254"/>
      <c r="M11" s="1254"/>
      <c r="N11" s="1254"/>
      <c r="O11" s="1254"/>
      <c r="P11" s="60"/>
      <c r="Q11" s="17"/>
      <c r="R11" s="928">
        <v>1</v>
      </c>
      <c r="S11" s="589" t="s">
        <v>2007</v>
      </c>
      <c r="T11" s="296" t="str">
        <f>SUBSTITUTE(_xlfn.CONCAT(L201:L220),"999","")</f>
        <v/>
      </c>
      <c r="U11" s="934"/>
      <c r="V11" s="934"/>
      <c r="W11" s="933"/>
      <c r="X11" s="933"/>
      <c r="Y11" s="933"/>
      <c r="Z11" s="933"/>
      <c r="AA11" s="479"/>
      <c r="AB11" s="479"/>
      <c r="AC11" s="479"/>
      <c r="AD11" s="479"/>
      <c r="AE11" s="479"/>
      <c r="AF11" s="479"/>
      <c r="AG11" s="479"/>
      <c r="AH11" s="479"/>
      <c r="AI11" s="479"/>
      <c r="AJ11" s="479"/>
      <c r="AK11" s="479"/>
      <c r="AL11" s="479"/>
      <c r="AM11" s="479"/>
      <c r="AN11" s="479"/>
      <c r="AO11" s="479"/>
      <c r="AP11" s="479"/>
      <c r="AQ11" s="479"/>
    </row>
    <row r="12" spans="1:43" ht="15" customHeight="1" x14ac:dyDescent="0.25">
      <c r="B12" s="17"/>
      <c r="C12" s="949"/>
      <c r="D12" s="1254"/>
      <c r="E12" s="1254"/>
      <c r="F12" s="1254"/>
      <c r="G12" s="1254"/>
      <c r="H12" s="1254"/>
      <c r="I12" s="1254"/>
      <c r="J12" s="1254"/>
      <c r="K12" s="1254"/>
      <c r="L12" s="1254"/>
      <c r="M12" s="1254"/>
      <c r="N12" s="1254"/>
      <c r="O12" s="1254"/>
      <c r="P12" s="60"/>
      <c r="Q12" s="17"/>
      <c r="R12" s="928">
        <v>1</v>
      </c>
      <c r="S12" s="235" t="str">
        <f ca="1">UPPER(Taal04!B265)</f>
        <v>JA</v>
      </c>
      <c r="T12" s="296" t="str">
        <f>UPPER("|"&amp;Taal04!C265&amp;"|"&amp;Taal04!D265&amp;"|"&amp;Taal04!E265&amp;"|"&amp;Taal04!F265&amp;"|"&amp;Taal04!G265&amp;"|"&amp;Taal04!H265&amp;"|"&amp;Taal04!I265&amp;"|"&amp;Taal04!J265&amp;"|")</f>
        <v>|JA|YES|JA|JA|||||</v>
      </c>
      <c r="U12" s="934"/>
      <c r="V12" s="934"/>
      <c r="W12" s="933"/>
      <c r="X12" s="933"/>
      <c r="Y12" s="933"/>
      <c r="Z12" s="933"/>
      <c r="AA12" s="479"/>
      <c r="AB12" s="479"/>
      <c r="AC12" s="479"/>
      <c r="AD12" s="479"/>
      <c r="AE12" s="479"/>
      <c r="AF12" s="479"/>
      <c r="AG12" s="479"/>
      <c r="AH12" s="479"/>
      <c r="AI12" s="479"/>
      <c r="AJ12" s="479"/>
      <c r="AK12" s="479"/>
      <c r="AL12" s="479"/>
      <c r="AM12" s="479"/>
      <c r="AN12" s="479"/>
      <c r="AO12" s="479"/>
      <c r="AP12" s="479"/>
      <c r="AQ12" s="479"/>
    </row>
    <row r="13" spans="1:43" ht="15" customHeight="1" x14ac:dyDescent="0.25">
      <c r="B13" s="17"/>
      <c r="C13" s="949"/>
      <c r="D13" s="1256" t="str">
        <f>IF(AND(T3=1,T5&lt;&gt;0,T6&lt;&gt;0),IF(Q212=1,Taal04!B268,IF(Q212=3,Taal04!B269,Taal04!B267)),"")</f>
        <v/>
      </c>
      <c r="E13" s="1256"/>
      <c r="F13" s="1256"/>
      <c r="G13" s="1256"/>
      <c r="H13" s="1256"/>
      <c r="I13" s="1256"/>
      <c r="J13" s="1256"/>
      <c r="K13" s="1256"/>
      <c r="L13" s="1256"/>
      <c r="M13" s="1256"/>
      <c r="N13" s="1256"/>
      <c r="O13" s="1256"/>
      <c r="P13" s="60"/>
      <c r="Q13" s="17"/>
      <c r="R13" s="928">
        <v>1</v>
      </c>
      <c r="S13" s="235" t="str">
        <f ca="1">UPPER(Taal04!B266)</f>
        <v>NEE</v>
      </c>
      <c r="T13" s="296" t="str">
        <f>UPPER("|"&amp;Taal04!C266&amp;"|"&amp;Taal04!D266&amp;"|"&amp;Taal04!E266&amp;"|"&amp;Taal04!F266&amp;"|"&amp;Taal04!G266&amp;"|"&amp;Taal04!H266&amp;"|"&amp;Taal04!I266&amp;"|"&amp;Taal04!J266&amp;"|")</f>
        <v>|NEE|NO|NEIN|NEJ|||||</v>
      </c>
      <c r="U13" s="934"/>
      <c r="V13" s="934"/>
      <c r="W13" s="933"/>
      <c r="X13" s="933"/>
      <c r="Y13" s="933"/>
      <c r="Z13" s="933"/>
      <c r="AA13" s="479"/>
      <c r="AB13" s="479"/>
      <c r="AC13" s="479"/>
      <c r="AD13" s="479"/>
      <c r="AE13" s="479"/>
      <c r="AF13" s="479"/>
      <c r="AG13" s="479"/>
      <c r="AH13" s="479"/>
      <c r="AI13" s="479"/>
      <c r="AJ13" s="479"/>
      <c r="AK13" s="479"/>
      <c r="AL13" s="479"/>
      <c r="AM13" s="479"/>
      <c r="AN13" s="479"/>
      <c r="AO13" s="479"/>
      <c r="AP13" s="479"/>
      <c r="AQ13" s="479"/>
    </row>
    <row r="14" spans="1:43" ht="15" customHeight="1" x14ac:dyDescent="0.25">
      <c r="B14" s="17"/>
      <c r="C14" s="949"/>
      <c r="D14" s="937"/>
      <c r="E14" s="17"/>
      <c r="F14" s="17"/>
      <c r="G14" s="17"/>
      <c r="H14" s="17"/>
      <c r="I14" s="17"/>
      <c r="J14" s="17"/>
      <c r="K14" s="17"/>
      <c r="L14" s="17"/>
      <c r="M14" s="17"/>
      <c r="N14" s="17"/>
      <c r="O14" s="17"/>
      <c r="P14" s="60"/>
      <c r="Q14" s="17"/>
      <c r="R14" s="928">
        <v>1</v>
      </c>
      <c r="S14" s="235"/>
      <c r="T14" s="296"/>
      <c r="U14" s="934"/>
      <c r="V14" s="934"/>
      <c r="W14" s="933"/>
      <c r="X14" s="933"/>
      <c r="Y14" s="933"/>
      <c r="Z14" s="933"/>
      <c r="AA14" s="479"/>
      <c r="AB14" s="479"/>
      <c r="AC14" s="479"/>
      <c r="AD14" s="479"/>
      <c r="AE14" s="479"/>
      <c r="AF14" s="479"/>
      <c r="AG14" s="479"/>
      <c r="AH14" s="479"/>
      <c r="AI14" s="479"/>
      <c r="AJ14" s="479"/>
      <c r="AK14" s="479"/>
      <c r="AL14" s="479"/>
      <c r="AM14" s="479"/>
      <c r="AN14" s="479"/>
      <c r="AO14" s="479"/>
      <c r="AP14" s="479"/>
      <c r="AQ14" s="479"/>
    </row>
    <row r="15" spans="1:43" ht="15" hidden="1" customHeight="1" x14ac:dyDescent="0.25">
      <c r="B15" s="17"/>
      <c r="C15" s="949"/>
      <c r="D15" s="863" t="str" cm="1">
        <f t="array" aca="1" ref="D15" ca="1">IF(T16=1,INDIRECT("E"&amp;T17),"")</f>
        <v/>
      </c>
      <c r="E15" s="361"/>
      <c r="F15" s="361"/>
      <c r="G15" s="361"/>
      <c r="H15" s="361"/>
      <c r="I15" s="361"/>
      <c r="J15" s="361"/>
      <c r="K15" s="361"/>
      <c r="L15" s="361"/>
      <c r="M15" s="391" t="str">
        <f ca="1">Taal04!$B$264&amp;":"</f>
        <v>team selecteren:</v>
      </c>
      <c r="N15" s="903" t="s">
        <v>64</v>
      </c>
      <c r="O15" s="218" t="s">
        <v>848</v>
      </c>
      <c r="P15" s="60"/>
      <c r="Q15" s="17"/>
      <c r="R15" s="927">
        <f>IF(T16=1,1,0)</f>
        <v>0</v>
      </c>
      <c r="S15" s="865" t="s">
        <v>2002</v>
      </c>
      <c r="T15" s="488" t="str" cm="1">
        <f t="array" aca="1" ref="T15" ca="1">IF(AND($T$3=1,T16=1),INDIRECT("B"&amp;T17),"-")</f>
        <v>-</v>
      </c>
      <c r="U15" s="934"/>
      <c r="V15" s="934"/>
      <c r="W15" s="933"/>
      <c r="X15" s="933"/>
      <c r="Y15" s="933"/>
      <c r="Z15" s="933"/>
      <c r="AA15" s="479"/>
      <c r="AB15" s="479"/>
      <c r="AC15" s="479"/>
      <c r="AD15" s="479"/>
      <c r="AE15" s="479"/>
      <c r="AF15" s="479"/>
      <c r="AG15" s="479"/>
      <c r="AH15" s="479"/>
      <c r="AI15" s="479"/>
      <c r="AJ15" s="479"/>
      <c r="AK15" s="479"/>
      <c r="AL15" s="479"/>
      <c r="AM15" s="479"/>
      <c r="AN15" s="479"/>
      <c r="AO15" s="479"/>
      <c r="AP15" s="479"/>
      <c r="AQ15" s="479"/>
    </row>
    <row r="16" spans="1:43" ht="15" hidden="1" customHeight="1" x14ac:dyDescent="0.25">
      <c r="B16" s="17"/>
      <c r="C16" s="949"/>
      <c r="D16" s="1255" t="str" cm="1">
        <f t="array" aca="1" ref="D16" ca="1">IF(AND(T16=1,T18=1),INDIRECT("G"&amp;T17),"")</f>
        <v/>
      </c>
      <c r="E16" s="1255"/>
      <c r="F16" s="1255"/>
      <c r="G16" s="1255"/>
      <c r="H16" s="1255"/>
      <c r="I16" s="1255"/>
      <c r="J16" s="1255"/>
      <c r="K16" s="1255"/>
      <c r="L16" s="1255"/>
      <c r="M16" s="1255"/>
      <c r="N16" s="1255"/>
      <c r="O16" s="1255"/>
      <c r="P16" s="60"/>
      <c r="Q16" s="17"/>
      <c r="R16" s="927">
        <f ca="1">IF(T18=1,1,0)</f>
        <v>0</v>
      </c>
      <c r="S16" s="864" t="s">
        <v>2003</v>
      </c>
      <c r="T16" s="488">
        <f>IF(AND($T$3=1,RIGHT(S15,2)*1&lt;=$T$4),1,0)</f>
        <v>0</v>
      </c>
      <c r="U16" s="934"/>
      <c r="V16" s="934"/>
      <c r="W16" s="933"/>
      <c r="X16" s="933"/>
      <c r="Y16" s="933"/>
      <c r="Z16" s="933"/>
      <c r="AA16" s="479"/>
      <c r="AB16" s="479"/>
      <c r="AC16" s="479"/>
      <c r="AD16" s="479"/>
      <c r="AE16" s="479"/>
      <c r="AF16" s="479"/>
      <c r="AG16" s="479"/>
      <c r="AH16" s="479"/>
      <c r="AI16" s="479"/>
      <c r="AJ16" s="479"/>
      <c r="AK16" s="479"/>
      <c r="AL16" s="479"/>
      <c r="AM16" s="479"/>
      <c r="AN16" s="479"/>
      <c r="AO16" s="479"/>
      <c r="AP16" s="479"/>
      <c r="AQ16" s="479"/>
    </row>
    <row r="17" spans="2:43" ht="15" hidden="1" customHeight="1" x14ac:dyDescent="0.25">
      <c r="B17" s="17"/>
      <c r="C17" s="949"/>
      <c r="D17" s="1255"/>
      <c r="E17" s="1255"/>
      <c r="F17" s="1255"/>
      <c r="G17" s="1255"/>
      <c r="H17" s="1255"/>
      <c r="I17" s="1255"/>
      <c r="J17" s="1255"/>
      <c r="K17" s="1255"/>
      <c r="L17" s="1255"/>
      <c r="M17" s="1255"/>
      <c r="N17" s="1255"/>
      <c r="O17" s="1255"/>
      <c r="P17" s="60"/>
      <c r="Q17" s="17"/>
      <c r="R17" s="927">
        <f ca="1">IF(T18=1,1,0)</f>
        <v>0</v>
      </c>
      <c r="S17" s="864" t="s">
        <v>2006</v>
      </c>
      <c r="T17" s="488" t="str">
        <f>IF(T16=1,RIGHT(LEFT($T$11,RIGHT(S15,2)*3),3)*1,"-")</f>
        <v>-</v>
      </c>
      <c r="U17" s="934"/>
      <c r="V17" s="934"/>
      <c r="W17" s="933"/>
      <c r="X17" s="933"/>
      <c r="Y17" s="933"/>
      <c r="Z17" s="933"/>
      <c r="AA17" s="479"/>
      <c r="AB17" s="479"/>
      <c r="AC17" s="479"/>
      <c r="AD17" s="479"/>
      <c r="AE17" s="479"/>
      <c r="AF17" s="479"/>
      <c r="AG17" s="479"/>
      <c r="AH17" s="479"/>
      <c r="AI17" s="479"/>
      <c r="AJ17" s="479"/>
      <c r="AK17" s="479"/>
      <c r="AL17" s="479"/>
      <c r="AM17" s="479"/>
      <c r="AN17" s="479"/>
      <c r="AO17" s="479"/>
      <c r="AP17" s="479"/>
      <c r="AQ17" s="479"/>
    </row>
    <row r="18" spans="2:43" ht="15" hidden="1" customHeight="1" x14ac:dyDescent="0.25">
      <c r="B18" s="17"/>
      <c r="C18" s="949"/>
      <c r="D18" s="1255"/>
      <c r="E18" s="1255"/>
      <c r="F18" s="1255"/>
      <c r="G18" s="1255"/>
      <c r="H18" s="1255"/>
      <c r="I18" s="1255"/>
      <c r="J18" s="1255"/>
      <c r="K18" s="1255"/>
      <c r="L18" s="1255"/>
      <c r="M18" s="1255"/>
      <c r="N18" s="1255"/>
      <c r="O18" s="1255"/>
      <c r="P18" s="60"/>
      <c r="Q18" s="17"/>
      <c r="R18" s="927">
        <f ca="1">IF(T18=1,1,0)</f>
        <v>0</v>
      </c>
      <c r="S18" s="864" t="s">
        <v>2008</v>
      </c>
      <c r="T18" s="488" cm="1">
        <f t="array" aca="1" ref="T18" ca="1">IF(AND($T$3=1,T16=1),IF(OR(ISBLANK(INDIRECT("G"&amp;T17)),TRIM(INDIRECT("G"&amp;T17))=""),0,1),0)</f>
        <v>0</v>
      </c>
      <c r="U18" s="934"/>
      <c r="V18" s="934"/>
      <c r="W18" s="933"/>
      <c r="X18" s="933"/>
      <c r="Y18" s="933"/>
      <c r="Z18" s="933"/>
      <c r="AA18" s="479"/>
      <c r="AB18" s="479"/>
      <c r="AC18" s="479"/>
      <c r="AD18" s="479"/>
      <c r="AE18" s="479"/>
      <c r="AF18" s="479"/>
      <c r="AG18" s="479"/>
      <c r="AH18" s="479"/>
      <c r="AI18" s="479"/>
      <c r="AJ18" s="479"/>
      <c r="AK18" s="479"/>
      <c r="AL18" s="479"/>
      <c r="AM18" s="479"/>
      <c r="AN18" s="479"/>
      <c r="AO18" s="479"/>
      <c r="AP18" s="479"/>
      <c r="AQ18" s="479"/>
    </row>
    <row r="19" spans="2:43" ht="15" hidden="1" customHeight="1" x14ac:dyDescent="0.25">
      <c r="B19" s="17"/>
      <c r="C19" s="949"/>
      <c r="D19" s="17"/>
      <c r="E19" s="17"/>
      <c r="F19" s="17"/>
      <c r="G19" s="17"/>
      <c r="H19" s="17"/>
      <c r="I19" s="17"/>
      <c r="J19" s="17"/>
      <c r="K19" s="17"/>
      <c r="L19" s="17"/>
      <c r="M19" s="17"/>
      <c r="N19" s="17"/>
      <c r="O19" s="17"/>
      <c r="P19" s="60"/>
      <c r="Q19" s="17"/>
      <c r="R19" s="927">
        <f>IF(T16=1,1,0)</f>
        <v>0</v>
      </c>
      <c r="S19" s="864" t="s">
        <v>2009</v>
      </c>
      <c r="T19" s="488" cm="1">
        <f t="array" aca="1" ref="T19" ca="1">IF(AND(T16=1,SUBSTITUTE($T$12,"|"&amp;N15&amp;"|","####")&lt;&gt;$T$12),INDIRECT("M"&amp;T17),0)</f>
        <v>0</v>
      </c>
      <c r="U19" s="934"/>
      <c r="V19" s="934"/>
      <c r="W19" s="933"/>
      <c r="X19" s="933"/>
      <c r="Y19" s="933"/>
      <c r="Z19" s="933"/>
      <c r="AA19" s="479"/>
      <c r="AB19" s="479"/>
      <c r="AC19" s="479"/>
      <c r="AD19" s="479"/>
      <c r="AE19" s="479"/>
      <c r="AF19" s="479"/>
      <c r="AG19" s="479"/>
      <c r="AH19" s="479"/>
      <c r="AI19" s="479"/>
      <c r="AJ19" s="479"/>
      <c r="AK19" s="479"/>
      <c r="AL19" s="479"/>
      <c r="AM19" s="479"/>
      <c r="AN19" s="479"/>
      <c r="AO19" s="479"/>
      <c r="AP19" s="479"/>
      <c r="AQ19" s="479"/>
    </row>
    <row r="20" spans="2:43" ht="15" hidden="1" customHeight="1" x14ac:dyDescent="0.25">
      <c r="B20" s="17"/>
      <c r="C20" s="949"/>
      <c r="D20" s="863" t="str" cm="1">
        <f t="array" aca="1" ref="D20" ca="1">IF(T21=1,INDIRECT("E"&amp;T22),"")</f>
        <v/>
      </c>
      <c r="E20" s="361"/>
      <c r="F20" s="361"/>
      <c r="G20" s="361"/>
      <c r="H20" s="361"/>
      <c r="I20" s="361"/>
      <c r="J20" s="361"/>
      <c r="K20" s="361"/>
      <c r="L20" s="361"/>
      <c r="M20" s="391" t="str">
        <f ca="1">Taal04!$B$264&amp;":"</f>
        <v>team selecteren:</v>
      </c>
      <c r="N20" s="903" t="s">
        <v>64</v>
      </c>
      <c r="O20" s="218" t="s">
        <v>848</v>
      </c>
      <c r="P20" s="60"/>
      <c r="Q20" s="17"/>
      <c r="R20" s="927">
        <f>IF(T21=1,1,0)</f>
        <v>0</v>
      </c>
      <c r="S20" s="866" t="str">
        <f>"Team "&amp;RIGHT("00"&amp;RIGHT(S15,2)*1+1,2)</f>
        <v>Team 02</v>
      </c>
      <c r="T20" s="868" t="str" cm="1">
        <f t="array" aca="1" ref="T20" ca="1">IF(AND($T$3=1,T21=1),INDIRECT("B"&amp;T22),"-")</f>
        <v>-</v>
      </c>
      <c r="U20" s="934"/>
      <c r="V20" s="479"/>
      <c r="W20" s="479"/>
      <c r="X20" s="479"/>
      <c r="Y20" s="933"/>
      <c r="Z20" s="933"/>
      <c r="AA20" s="479"/>
      <c r="AB20" s="479"/>
      <c r="AC20" s="479"/>
      <c r="AD20" s="479"/>
      <c r="AE20" s="479"/>
      <c r="AF20" s="479"/>
      <c r="AG20" s="479"/>
      <c r="AH20" s="479"/>
      <c r="AI20" s="479"/>
      <c r="AJ20" s="479"/>
      <c r="AK20" s="479"/>
      <c r="AL20" s="479"/>
      <c r="AM20" s="479"/>
      <c r="AN20" s="479"/>
      <c r="AO20" s="479"/>
      <c r="AP20" s="479"/>
      <c r="AQ20" s="479"/>
    </row>
    <row r="21" spans="2:43" ht="15" hidden="1" customHeight="1" x14ac:dyDescent="0.25">
      <c r="B21" s="17"/>
      <c r="C21" s="949"/>
      <c r="D21" s="1255" t="str" cm="1">
        <f t="array" aca="1" ref="D21" ca="1">IF(AND(T21=1,T23=1),INDIRECT("G"&amp;T22),"")</f>
        <v/>
      </c>
      <c r="E21" s="1255"/>
      <c r="F21" s="1255"/>
      <c r="G21" s="1255"/>
      <c r="H21" s="1255"/>
      <c r="I21" s="1255"/>
      <c r="J21" s="1255"/>
      <c r="K21" s="1255"/>
      <c r="L21" s="1255"/>
      <c r="M21" s="1255"/>
      <c r="N21" s="1255"/>
      <c r="O21" s="1255"/>
      <c r="P21" s="60"/>
      <c r="Q21" s="17"/>
      <c r="R21" s="927">
        <f ca="1">IF(T23=1,1,0)</f>
        <v>0</v>
      </c>
      <c r="S21" s="867" t="s">
        <v>2003</v>
      </c>
      <c r="T21" s="868">
        <f>IF(AND($T$3=1,RIGHT(S20,2)*1&lt;=$T$4),1,0)</f>
        <v>0</v>
      </c>
      <c r="U21" s="935"/>
      <c r="V21" s="479"/>
      <c r="W21" s="479"/>
      <c r="X21" s="479"/>
      <c r="Y21" s="935"/>
      <c r="Z21" s="935"/>
      <c r="AA21" s="479"/>
      <c r="AB21" s="479"/>
      <c r="AC21" s="479"/>
      <c r="AD21" s="479"/>
      <c r="AE21" s="479"/>
      <c r="AF21" s="479"/>
      <c r="AG21" s="479"/>
      <c r="AH21" s="479"/>
      <c r="AI21" s="479"/>
      <c r="AJ21" s="479"/>
      <c r="AK21" s="479"/>
      <c r="AL21" s="479"/>
      <c r="AM21" s="479"/>
      <c r="AN21" s="479"/>
      <c r="AO21" s="479"/>
      <c r="AP21" s="479"/>
      <c r="AQ21" s="479"/>
    </row>
    <row r="22" spans="2:43" ht="15" hidden="1" customHeight="1" x14ac:dyDescent="0.25">
      <c r="B22" s="17"/>
      <c r="C22" s="949"/>
      <c r="D22" s="1255"/>
      <c r="E22" s="1255"/>
      <c r="F22" s="1255"/>
      <c r="G22" s="1255"/>
      <c r="H22" s="1255"/>
      <c r="I22" s="1255"/>
      <c r="J22" s="1255"/>
      <c r="K22" s="1255"/>
      <c r="L22" s="1255"/>
      <c r="M22" s="1255"/>
      <c r="N22" s="1255"/>
      <c r="O22" s="1255"/>
      <c r="P22" s="60"/>
      <c r="Q22" s="17"/>
      <c r="R22" s="927">
        <f ca="1">IF(T23=1,1,0)</f>
        <v>0</v>
      </c>
      <c r="S22" s="867" t="s">
        <v>2006</v>
      </c>
      <c r="T22" s="868" t="str">
        <f>IF(T21=1,RIGHT(LEFT($T$11,RIGHT(S20,2)*3),3)*1,"-")</f>
        <v>-</v>
      </c>
      <c r="U22" s="933"/>
      <c r="V22" s="479"/>
      <c r="W22" s="479"/>
      <c r="X22" s="479"/>
      <c r="Y22" s="933"/>
      <c r="Z22" s="933"/>
      <c r="AA22" s="479"/>
      <c r="AB22" s="479"/>
      <c r="AC22" s="479"/>
      <c r="AD22" s="479"/>
      <c r="AE22" s="479"/>
      <c r="AF22" s="479"/>
      <c r="AG22" s="479"/>
      <c r="AH22" s="479"/>
      <c r="AI22" s="479"/>
      <c r="AJ22" s="479"/>
      <c r="AK22" s="479"/>
      <c r="AL22" s="479"/>
      <c r="AM22" s="479"/>
      <c r="AN22" s="479"/>
      <c r="AO22" s="479"/>
      <c r="AP22" s="479"/>
      <c r="AQ22" s="479"/>
    </row>
    <row r="23" spans="2:43" ht="15" hidden="1" customHeight="1" x14ac:dyDescent="0.25">
      <c r="B23" s="17"/>
      <c r="C23" s="949"/>
      <c r="D23" s="1255"/>
      <c r="E23" s="1255"/>
      <c r="F23" s="1255"/>
      <c r="G23" s="1255"/>
      <c r="H23" s="1255"/>
      <c r="I23" s="1255"/>
      <c r="J23" s="1255"/>
      <c r="K23" s="1255"/>
      <c r="L23" s="1255"/>
      <c r="M23" s="1255"/>
      <c r="N23" s="1255"/>
      <c r="O23" s="1255"/>
      <c r="P23" s="60"/>
      <c r="Q23" s="17"/>
      <c r="R23" s="927">
        <f ca="1">IF(T23=1,1,0)</f>
        <v>0</v>
      </c>
      <c r="S23" s="867" t="s">
        <v>2008</v>
      </c>
      <c r="T23" s="868" cm="1">
        <f t="array" aca="1" ref="T23" ca="1">IF(AND($T$3=1,T21=1),IF(OR(ISBLANK(INDIRECT("G"&amp;T22)),TRIM(INDIRECT("G"&amp;T22))=""),0,1),0)</f>
        <v>0</v>
      </c>
      <c r="U23" s="933"/>
      <c r="V23" s="479"/>
      <c r="W23" s="479"/>
      <c r="X23" s="479"/>
      <c r="Y23" s="933"/>
      <c r="Z23" s="933"/>
      <c r="AA23" s="479"/>
      <c r="AB23" s="479"/>
      <c r="AC23" s="479"/>
      <c r="AD23" s="479"/>
      <c r="AE23" s="479"/>
      <c r="AF23" s="479"/>
      <c r="AG23" s="479"/>
      <c r="AH23" s="479"/>
      <c r="AI23" s="479"/>
      <c r="AJ23" s="479"/>
      <c r="AK23" s="479"/>
      <c r="AL23" s="479"/>
      <c r="AM23" s="479"/>
      <c r="AN23" s="479"/>
      <c r="AO23" s="479"/>
      <c r="AP23" s="479"/>
      <c r="AQ23" s="479"/>
    </row>
    <row r="24" spans="2:43" ht="15" hidden="1" customHeight="1" x14ac:dyDescent="0.25">
      <c r="B24" s="17"/>
      <c r="C24" s="949"/>
      <c r="D24" s="17"/>
      <c r="E24" s="17"/>
      <c r="F24" s="17"/>
      <c r="G24" s="17"/>
      <c r="H24" s="17"/>
      <c r="I24" s="17"/>
      <c r="J24" s="17"/>
      <c r="K24" s="17"/>
      <c r="L24" s="17"/>
      <c r="M24" s="17"/>
      <c r="N24" s="17"/>
      <c r="O24" s="17"/>
      <c r="P24" s="60"/>
      <c r="Q24" s="17"/>
      <c r="R24" s="927">
        <f>IF(T21=1,1,0)</f>
        <v>0</v>
      </c>
      <c r="S24" s="867" t="s">
        <v>2009</v>
      </c>
      <c r="T24" s="868" cm="1">
        <f t="array" aca="1" ref="T24" ca="1">IF(AND(T21=1,SUBSTITUTE($T$12,"|"&amp;N20&amp;"|","####")&lt;&gt;$T$12),INDIRECT("M"&amp;T22),0)</f>
        <v>0</v>
      </c>
      <c r="U24" s="933"/>
      <c r="V24" s="479"/>
      <c r="W24" s="479"/>
      <c r="X24" s="479"/>
      <c r="Y24" s="933"/>
      <c r="Z24" s="933"/>
      <c r="AA24" s="479"/>
      <c r="AB24" s="479"/>
      <c r="AC24" s="479"/>
      <c r="AD24" s="479"/>
      <c r="AE24" s="479"/>
      <c r="AF24" s="479"/>
      <c r="AG24" s="479"/>
      <c r="AH24" s="479"/>
      <c r="AI24" s="479"/>
      <c r="AJ24" s="479"/>
      <c r="AK24" s="479"/>
      <c r="AL24" s="479"/>
      <c r="AM24" s="479"/>
      <c r="AN24" s="479"/>
      <c r="AO24" s="479"/>
      <c r="AP24" s="479"/>
      <c r="AQ24" s="479"/>
    </row>
    <row r="25" spans="2:43" ht="15" hidden="1" customHeight="1" x14ac:dyDescent="0.25">
      <c r="B25" s="17"/>
      <c r="C25" s="949"/>
      <c r="D25" s="863" t="str" cm="1">
        <f t="array" aca="1" ref="D25" ca="1">IF(T26=1,INDIRECT("E"&amp;T27),"")</f>
        <v/>
      </c>
      <c r="E25" s="361"/>
      <c r="F25" s="361"/>
      <c r="G25" s="361"/>
      <c r="H25" s="361"/>
      <c r="I25" s="361"/>
      <c r="J25" s="361"/>
      <c r="K25" s="361"/>
      <c r="L25" s="361"/>
      <c r="M25" s="391" t="str">
        <f ca="1">Taal04!$B$264&amp;":"</f>
        <v>team selecteren:</v>
      </c>
      <c r="N25" s="903" t="s">
        <v>64</v>
      </c>
      <c r="O25" s="218" t="s">
        <v>848</v>
      </c>
      <c r="P25" s="60"/>
      <c r="Q25" s="17"/>
      <c r="R25" s="927">
        <f>IF(T26=1,1,0)</f>
        <v>0</v>
      </c>
      <c r="S25" s="869" t="str">
        <f>"Team "&amp;RIGHT("00"&amp;RIGHT(S20,2)*1+1,2)</f>
        <v>Team 03</v>
      </c>
      <c r="T25" s="870" t="str" cm="1">
        <f t="array" aca="1" ref="T25" ca="1">IF(AND($T$3=1,T26=1),INDIRECT("B"&amp;T27),"-")</f>
        <v>-</v>
      </c>
      <c r="U25" s="933"/>
      <c r="V25" s="479"/>
      <c r="W25" s="479"/>
      <c r="X25" s="479"/>
      <c r="Y25" s="933"/>
      <c r="Z25" s="933"/>
      <c r="AA25" s="479"/>
      <c r="AB25" s="479"/>
      <c r="AC25" s="479"/>
      <c r="AD25" s="479"/>
      <c r="AE25" s="479"/>
      <c r="AF25" s="479"/>
      <c r="AG25" s="479"/>
      <c r="AH25" s="479"/>
      <c r="AI25" s="479"/>
      <c r="AJ25" s="479"/>
      <c r="AK25" s="479"/>
      <c r="AL25" s="479"/>
      <c r="AM25" s="479"/>
      <c r="AN25" s="479"/>
      <c r="AO25" s="479"/>
      <c r="AP25" s="479"/>
      <c r="AQ25" s="479"/>
    </row>
    <row r="26" spans="2:43" ht="15" hidden="1" customHeight="1" x14ac:dyDescent="0.25">
      <c r="B26" s="17"/>
      <c r="C26" s="949"/>
      <c r="D26" s="1255" t="str" cm="1">
        <f t="array" aca="1" ref="D26" ca="1">IF(AND(T26=1,T28=1),INDIRECT("G"&amp;T27),"")</f>
        <v/>
      </c>
      <c r="E26" s="1255"/>
      <c r="F26" s="1255"/>
      <c r="G26" s="1255"/>
      <c r="H26" s="1255"/>
      <c r="I26" s="1255"/>
      <c r="J26" s="1255"/>
      <c r="K26" s="1255"/>
      <c r="L26" s="1255"/>
      <c r="M26" s="1255"/>
      <c r="N26" s="1255"/>
      <c r="O26" s="1255"/>
      <c r="P26" s="60"/>
      <c r="Q26" s="17"/>
      <c r="R26" s="927">
        <f ca="1">IF(T28=1,1,0)</f>
        <v>0</v>
      </c>
      <c r="S26" s="871" t="s">
        <v>2003</v>
      </c>
      <c r="T26" s="870">
        <f>IF(AND($T$3=1,RIGHT(S25,2)*1&lt;=$T$4),1,0)</f>
        <v>0</v>
      </c>
      <c r="U26" s="933"/>
      <c r="V26" s="479"/>
      <c r="W26" s="479"/>
      <c r="X26" s="479"/>
      <c r="Y26" s="933"/>
      <c r="Z26" s="933"/>
      <c r="AA26" s="479"/>
      <c r="AB26" s="479"/>
      <c r="AC26" s="479"/>
      <c r="AD26" s="479"/>
      <c r="AE26" s="479"/>
      <c r="AF26" s="479"/>
      <c r="AG26" s="479"/>
      <c r="AH26" s="479"/>
      <c r="AI26" s="479"/>
      <c r="AJ26" s="479"/>
      <c r="AK26" s="479"/>
      <c r="AL26" s="479"/>
      <c r="AM26" s="479"/>
      <c r="AN26" s="479"/>
      <c r="AO26" s="479"/>
      <c r="AP26" s="479"/>
      <c r="AQ26" s="479"/>
    </row>
    <row r="27" spans="2:43" ht="15" hidden="1" customHeight="1" x14ac:dyDescent="0.25">
      <c r="B27" s="17"/>
      <c r="C27" s="949"/>
      <c r="D27" s="1255"/>
      <c r="E27" s="1255"/>
      <c r="F27" s="1255"/>
      <c r="G27" s="1255"/>
      <c r="H27" s="1255"/>
      <c r="I27" s="1255"/>
      <c r="J27" s="1255"/>
      <c r="K27" s="1255"/>
      <c r="L27" s="1255"/>
      <c r="M27" s="1255"/>
      <c r="N27" s="1255"/>
      <c r="O27" s="1255"/>
      <c r="P27" s="60"/>
      <c r="Q27" s="17"/>
      <c r="R27" s="927">
        <f ca="1">IF(T28=1,1,0)</f>
        <v>0</v>
      </c>
      <c r="S27" s="871" t="s">
        <v>2006</v>
      </c>
      <c r="T27" s="870" t="str">
        <f>IF(T26=1,RIGHT(LEFT($T$11,RIGHT(S25,2)*3),3)*1,"-")</f>
        <v>-</v>
      </c>
      <c r="U27" s="932"/>
      <c r="V27" s="479"/>
      <c r="W27" s="479"/>
      <c r="X27" s="479"/>
      <c r="Y27" s="933"/>
      <c r="Z27" s="933"/>
      <c r="AA27" s="479"/>
      <c r="AB27" s="479"/>
      <c r="AC27" s="479"/>
      <c r="AD27" s="479"/>
      <c r="AE27" s="479"/>
      <c r="AF27" s="479"/>
      <c r="AG27" s="479"/>
      <c r="AH27" s="479"/>
      <c r="AI27" s="479"/>
      <c r="AJ27" s="479"/>
      <c r="AK27" s="479"/>
      <c r="AL27" s="479"/>
      <c r="AM27" s="479"/>
      <c r="AN27" s="479"/>
      <c r="AO27" s="479"/>
      <c r="AP27" s="479"/>
      <c r="AQ27" s="479"/>
    </row>
    <row r="28" spans="2:43" ht="15" hidden="1" customHeight="1" x14ac:dyDescent="0.25">
      <c r="B28" s="17"/>
      <c r="C28" s="949"/>
      <c r="D28" s="1255"/>
      <c r="E28" s="1255"/>
      <c r="F28" s="1255"/>
      <c r="G28" s="1255"/>
      <c r="H28" s="1255"/>
      <c r="I28" s="1255"/>
      <c r="J28" s="1255"/>
      <c r="K28" s="1255"/>
      <c r="L28" s="1255"/>
      <c r="M28" s="1255"/>
      <c r="N28" s="1255"/>
      <c r="O28" s="1255"/>
      <c r="P28" s="60"/>
      <c r="Q28" s="17"/>
      <c r="R28" s="927">
        <f ca="1">IF(T28=1,1,0)</f>
        <v>0</v>
      </c>
      <c r="S28" s="871" t="s">
        <v>2008</v>
      </c>
      <c r="T28" s="870" cm="1">
        <f t="array" aca="1" ref="T28" ca="1">IF(AND($T$3=1,T26=1),IF(OR(ISBLANK(INDIRECT("G"&amp;T27)),TRIM(INDIRECT("G"&amp;T27))=""),0,1),0)</f>
        <v>0</v>
      </c>
      <c r="U28" s="933"/>
      <c r="V28" s="479"/>
      <c r="W28" s="479"/>
      <c r="X28" s="479"/>
      <c r="Y28" s="933"/>
      <c r="Z28" s="933"/>
      <c r="AA28" s="479"/>
      <c r="AB28" s="479"/>
      <c r="AC28" s="479"/>
      <c r="AD28" s="479"/>
      <c r="AE28" s="479"/>
      <c r="AF28" s="479"/>
      <c r="AG28" s="479"/>
      <c r="AH28" s="479"/>
      <c r="AI28" s="479"/>
      <c r="AJ28" s="479"/>
      <c r="AK28" s="479"/>
      <c r="AL28" s="479"/>
      <c r="AM28" s="479"/>
      <c r="AN28" s="479"/>
      <c r="AO28" s="479"/>
      <c r="AP28" s="479"/>
      <c r="AQ28" s="479"/>
    </row>
    <row r="29" spans="2:43" ht="15" hidden="1" customHeight="1" x14ac:dyDescent="0.25">
      <c r="B29" s="17"/>
      <c r="C29" s="949"/>
      <c r="D29" s="17"/>
      <c r="E29" s="17"/>
      <c r="F29" s="17"/>
      <c r="G29" s="17"/>
      <c r="H29" s="17"/>
      <c r="I29" s="17"/>
      <c r="J29" s="17"/>
      <c r="K29" s="17"/>
      <c r="L29" s="17"/>
      <c r="M29" s="17"/>
      <c r="N29" s="17"/>
      <c r="O29" s="17"/>
      <c r="P29" s="60"/>
      <c r="Q29" s="17"/>
      <c r="R29" s="927">
        <f>IF(T26=1,1,0)</f>
        <v>0</v>
      </c>
      <c r="S29" s="871" t="s">
        <v>2009</v>
      </c>
      <c r="T29" s="870" cm="1">
        <f t="array" aca="1" ref="T29" ca="1">IF(AND(T26=1,SUBSTITUTE($T$12,"|"&amp;N25&amp;"|","####")&lt;&gt;$T$12),INDIRECT("M"&amp;T27),0)</f>
        <v>0</v>
      </c>
      <c r="U29" s="933"/>
      <c r="V29" s="479"/>
      <c r="W29" s="479"/>
      <c r="X29" s="479"/>
      <c r="Y29" s="933"/>
      <c r="Z29" s="933"/>
      <c r="AA29" s="479"/>
      <c r="AB29" s="479"/>
      <c r="AC29" s="479"/>
      <c r="AD29" s="479"/>
      <c r="AE29" s="479"/>
      <c r="AF29" s="479"/>
      <c r="AG29" s="479"/>
      <c r="AH29" s="479"/>
      <c r="AI29" s="479"/>
      <c r="AJ29" s="479"/>
      <c r="AK29" s="479"/>
      <c r="AL29" s="479"/>
      <c r="AM29" s="479"/>
      <c r="AN29" s="479"/>
      <c r="AO29" s="479"/>
      <c r="AP29" s="479"/>
      <c r="AQ29" s="479"/>
    </row>
    <row r="30" spans="2:43" ht="15" hidden="1" customHeight="1" x14ac:dyDescent="0.25">
      <c r="B30" s="17"/>
      <c r="C30" s="949"/>
      <c r="D30" s="863" t="str" cm="1">
        <f t="array" aca="1" ref="D30" ca="1">IF(T31=1,INDIRECT("E"&amp;T32),"")</f>
        <v/>
      </c>
      <c r="E30" s="361"/>
      <c r="F30" s="361"/>
      <c r="G30" s="361"/>
      <c r="H30" s="361"/>
      <c r="I30" s="361"/>
      <c r="J30" s="361"/>
      <c r="K30" s="361"/>
      <c r="L30" s="361"/>
      <c r="M30" s="391" t="str">
        <f ca="1">Taal04!$B$264&amp;":"</f>
        <v>team selecteren:</v>
      </c>
      <c r="N30" s="903" t="s">
        <v>64</v>
      </c>
      <c r="O30" s="218" t="s">
        <v>848</v>
      </c>
      <c r="P30" s="60"/>
      <c r="Q30" s="17"/>
      <c r="R30" s="927">
        <f>IF(T31=1,1,0)</f>
        <v>0</v>
      </c>
      <c r="S30" s="872" t="str">
        <f>"Team "&amp;RIGHT("00"&amp;RIGHT(S25,2)*1+1,2)</f>
        <v>Team 04</v>
      </c>
      <c r="T30" s="873" t="str" cm="1">
        <f t="array" aca="1" ref="T30" ca="1">IF(AND($T$3=1,T31=1),INDIRECT("B"&amp;T32),"-")</f>
        <v>-</v>
      </c>
      <c r="U30" s="933"/>
      <c r="V30" s="933"/>
      <c r="W30" s="933"/>
      <c r="X30" s="933"/>
      <c r="Y30" s="933"/>
      <c r="Z30" s="933"/>
      <c r="AA30" s="479"/>
      <c r="AB30" s="479"/>
      <c r="AC30" s="479"/>
      <c r="AD30" s="479"/>
      <c r="AE30" s="479"/>
      <c r="AF30" s="479"/>
      <c r="AG30" s="479"/>
      <c r="AH30" s="479"/>
      <c r="AI30" s="479"/>
      <c r="AJ30" s="479"/>
      <c r="AK30" s="479"/>
      <c r="AL30" s="479"/>
      <c r="AM30" s="479"/>
      <c r="AN30" s="479"/>
      <c r="AO30" s="479"/>
      <c r="AP30" s="479"/>
      <c r="AQ30" s="479"/>
    </row>
    <row r="31" spans="2:43" ht="15" hidden="1" customHeight="1" x14ac:dyDescent="0.25">
      <c r="B31" s="17"/>
      <c r="C31" s="949"/>
      <c r="D31" s="1255" t="str" cm="1">
        <f t="array" aca="1" ref="D31" ca="1">IF(AND(T31=1,T33=1),INDIRECT("G"&amp;T32),"")</f>
        <v/>
      </c>
      <c r="E31" s="1255"/>
      <c r="F31" s="1255"/>
      <c r="G31" s="1255"/>
      <c r="H31" s="1255"/>
      <c r="I31" s="1255"/>
      <c r="J31" s="1255"/>
      <c r="K31" s="1255"/>
      <c r="L31" s="1255"/>
      <c r="M31" s="1255"/>
      <c r="N31" s="1255"/>
      <c r="O31" s="1255"/>
      <c r="P31" s="60"/>
      <c r="Q31" s="17"/>
      <c r="R31" s="927">
        <f ca="1">IF(T33=1,1,0)</f>
        <v>0</v>
      </c>
      <c r="S31" s="874" t="s">
        <v>2003</v>
      </c>
      <c r="T31" s="873">
        <f>IF(AND($T$3=1,RIGHT(S30,2)*1&lt;=$T$4),1,0)</f>
        <v>0</v>
      </c>
      <c r="U31" s="933"/>
      <c r="V31" s="479"/>
      <c r="W31" s="933"/>
      <c r="X31" s="933"/>
      <c r="Y31" s="933"/>
      <c r="Z31" s="933"/>
      <c r="AA31" s="479"/>
      <c r="AB31" s="479"/>
      <c r="AC31" s="479"/>
      <c r="AD31" s="479"/>
      <c r="AE31" s="479"/>
      <c r="AF31" s="479"/>
      <c r="AG31" s="479"/>
      <c r="AH31" s="479"/>
      <c r="AI31" s="479"/>
      <c r="AJ31" s="479"/>
      <c r="AK31" s="479"/>
      <c r="AL31" s="479"/>
      <c r="AM31" s="479"/>
      <c r="AN31" s="479"/>
      <c r="AO31" s="479"/>
      <c r="AP31" s="479"/>
      <c r="AQ31" s="479"/>
    </row>
    <row r="32" spans="2:43" ht="15" hidden="1" customHeight="1" x14ac:dyDescent="0.25">
      <c r="B32" s="17"/>
      <c r="C32" s="949"/>
      <c r="D32" s="1255"/>
      <c r="E32" s="1255"/>
      <c r="F32" s="1255"/>
      <c r="G32" s="1255"/>
      <c r="H32" s="1255"/>
      <c r="I32" s="1255"/>
      <c r="J32" s="1255"/>
      <c r="K32" s="1255"/>
      <c r="L32" s="1255"/>
      <c r="M32" s="1255"/>
      <c r="N32" s="1255"/>
      <c r="O32" s="1255"/>
      <c r="P32" s="60"/>
      <c r="Q32" s="17"/>
      <c r="R32" s="927">
        <f ca="1">IF(T33=1,1,0)</f>
        <v>0</v>
      </c>
      <c r="S32" s="874" t="s">
        <v>2006</v>
      </c>
      <c r="T32" s="873" t="str">
        <f>IF(T31=1,RIGHT(LEFT($T$11,RIGHT(S30,2)*3),3)*1,"-")</f>
        <v>-</v>
      </c>
      <c r="U32" s="933"/>
      <c r="V32" s="933"/>
      <c r="W32" s="933"/>
      <c r="X32" s="933"/>
      <c r="Y32" s="933"/>
      <c r="Z32" s="933"/>
      <c r="AA32" s="479"/>
      <c r="AB32" s="479"/>
      <c r="AC32" s="479"/>
      <c r="AD32" s="479"/>
      <c r="AE32" s="479"/>
      <c r="AF32" s="479"/>
      <c r="AG32" s="479"/>
      <c r="AH32" s="479"/>
      <c r="AI32" s="479"/>
      <c r="AJ32" s="479"/>
      <c r="AK32" s="479"/>
      <c r="AL32" s="479"/>
      <c r="AM32" s="479"/>
      <c r="AN32" s="479"/>
      <c r="AO32" s="479"/>
      <c r="AP32" s="479"/>
      <c r="AQ32" s="479"/>
    </row>
    <row r="33" spans="2:43" ht="15" hidden="1" customHeight="1" x14ac:dyDescent="0.25">
      <c r="B33" s="17"/>
      <c r="C33" s="949"/>
      <c r="D33" s="1255"/>
      <c r="E33" s="1255"/>
      <c r="F33" s="1255"/>
      <c r="G33" s="1255"/>
      <c r="H33" s="1255"/>
      <c r="I33" s="1255"/>
      <c r="J33" s="1255"/>
      <c r="K33" s="1255"/>
      <c r="L33" s="1255"/>
      <c r="M33" s="1255"/>
      <c r="N33" s="1255"/>
      <c r="O33" s="1255"/>
      <c r="P33" s="60"/>
      <c r="Q33" s="17"/>
      <c r="R33" s="927">
        <f ca="1">IF(T33=1,1,0)</f>
        <v>0</v>
      </c>
      <c r="S33" s="874" t="s">
        <v>2008</v>
      </c>
      <c r="T33" s="873" cm="1">
        <f t="array" aca="1" ref="T33" ca="1">IF(AND($T$3=1,T31=1),IF(OR(ISBLANK(INDIRECT("G"&amp;T32)),TRIM(INDIRECT("G"&amp;T32))=""),0,1),0)</f>
        <v>0</v>
      </c>
      <c r="U33" s="936"/>
      <c r="V33" s="936"/>
      <c r="W33" s="936"/>
      <c r="X33" s="936"/>
      <c r="Y33" s="936"/>
      <c r="Z33" s="936"/>
      <c r="AA33" s="479"/>
      <c r="AB33" s="479"/>
      <c r="AC33" s="479"/>
      <c r="AD33" s="479"/>
      <c r="AE33" s="479"/>
      <c r="AF33" s="479"/>
      <c r="AG33" s="479"/>
      <c r="AH33" s="479"/>
      <c r="AI33" s="479"/>
      <c r="AJ33" s="479"/>
      <c r="AK33" s="479"/>
      <c r="AL33" s="479"/>
      <c r="AM33" s="479"/>
      <c r="AN33" s="479"/>
      <c r="AO33" s="479"/>
      <c r="AP33" s="479"/>
      <c r="AQ33" s="479"/>
    </row>
    <row r="34" spans="2:43" ht="15" hidden="1" customHeight="1" x14ac:dyDescent="0.25">
      <c r="B34" s="17"/>
      <c r="C34" s="949"/>
      <c r="D34" s="17"/>
      <c r="E34" s="17"/>
      <c r="F34" s="17"/>
      <c r="G34" s="17"/>
      <c r="H34" s="17"/>
      <c r="I34" s="17"/>
      <c r="J34" s="17"/>
      <c r="K34" s="17"/>
      <c r="L34" s="17"/>
      <c r="M34" s="17"/>
      <c r="N34" s="17"/>
      <c r="O34" s="17"/>
      <c r="P34" s="60"/>
      <c r="Q34" s="17"/>
      <c r="R34" s="927">
        <f>IF(T31=1,1,0)</f>
        <v>0</v>
      </c>
      <c r="S34" s="874" t="s">
        <v>2009</v>
      </c>
      <c r="T34" s="873" cm="1">
        <f t="array" aca="1" ref="T34" ca="1">IF(AND(T31=1,SUBSTITUTE($T$12,"|"&amp;N30&amp;"|","####")&lt;&gt;$T$12),INDIRECT("M"&amp;T32),0)</f>
        <v>0</v>
      </c>
      <c r="U34" s="933"/>
      <c r="V34" s="933"/>
      <c r="W34" s="933"/>
      <c r="X34" s="933"/>
      <c r="Y34" s="933"/>
      <c r="Z34" s="933"/>
      <c r="AA34" s="479"/>
      <c r="AB34" s="479"/>
      <c r="AC34" s="479"/>
      <c r="AD34" s="479"/>
      <c r="AE34" s="479"/>
      <c r="AF34" s="479"/>
      <c r="AG34" s="479"/>
      <c r="AH34" s="479"/>
      <c r="AI34" s="479"/>
      <c r="AJ34" s="479"/>
      <c r="AK34" s="479"/>
      <c r="AL34" s="479"/>
      <c r="AM34" s="479"/>
      <c r="AN34" s="479"/>
      <c r="AO34" s="479"/>
      <c r="AP34" s="479"/>
      <c r="AQ34" s="479"/>
    </row>
    <row r="35" spans="2:43" ht="15" hidden="1" customHeight="1" x14ac:dyDescent="0.25">
      <c r="B35" s="17"/>
      <c r="C35" s="949"/>
      <c r="D35" s="863" t="str" cm="1">
        <f t="array" aca="1" ref="D35" ca="1">IF(T36=1,INDIRECT("E"&amp;T37),"")</f>
        <v/>
      </c>
      <c r="E35" s="361"/>
      <c r="F35" s="361"/>
      <c r="G35" s="361"/>
      <c r="H35" s="361"/>
      <c r="I35" s="361"/>
      <c r="J35" s="361"/>
      <c r="K35" s="361"/>
      <c r="L35" s="361"/>
      <c r="M35" s="391" t="str">
        <f ca="1">Taal04!$B$264&amp;":"</f>
        <v>team selecteren:</v>
      </c>
      <c r="N35" s="903" t="s">
        <v>64</v>
      </c>
      <c r="O35" s="218" t="s">
        <v>848</v>
      </c>
      <c r="P35" s="60"/>
      <c r="Q35" s="17"/>
      <c r="R35" s="927">
        <f>IF(T36=1,1,0)</f>
        <v>0</v>
      </c>
      <c r="S35" s="875" t="str">
        <f>"Team "&amp;RIGHT("00"&amp;RIGHT(S30,2)*1+1,2)</f>
        <v>Team 05</v>
      </c>
      <c r="T35" s="484" t="str" cm="1">
        <f t="array" aca="1" ref="T35" ca="1">IF(AND($T$3=1,T36=1),INDIRECT("B"&amp;T37),"-")</f>
        <v>-</v>
      </c>
      <c r="U35" s="933"/>
      <c r="V35" s="933"/>
      <c r="W35" s="933"/>
      <c r="X35" s="933"/>
      <c r="Y35" s="933"/>
      <c r="Z35" s="933"/>
      <c r="AA35" s="479"/>
      <c r="AB35" s="479"/>
      <c r="AC35" s="479"/>
      <c r="AD35" s="479"/>
      <c r="AE35" s="479"/>
      <c r="AF35" s="479"/>
      <c r="AG35" s="479"/>
      <c r="AH35" s="479"/>
      <c r="AI35" s="479"/>
      <c r="AJ35" s="479"/>
      <c r="AK35" s="479"/>
      <c r="AL35" s="479"/>
      <c r="AM35" s="479"/>
      <c r="AN35" s="479"/>
      <c r="AO35" s="479"/>
      <c r="AP35" s="479"/>
      <c r="AQ35" s="479"/>
    </row>
    <row r="36" spans="2:43" ht="15" hidden="1" customHeight="1" x14ac:dyDescent="0.25">
      <c r="B36" s="17"/>
      <c r="C36" s="949"/>
      <c r="D36" s="1255" t="str" cm="1">
        <f t="array" aca="1" ref="D36" ca="1">IF(AND(T36=1,T38=1),INDIRECT("G"&amp;T37),"")</f>
        <v/>
      </c>
      <c r="E36" s="1255"/>
      <c r="F36" s="1255"/>
      <c r="G36" s="1255"/>
      <c r="H36" s="1255"/>
      <c r="I36" s="1255"/>
      <c r="J36" s="1255"/>
      <c r="K36" s="1255"/>
      <c r="L36" s="1255"/>
      <c r="M36" s="1255"/>
      <c r="N36" s="1255"/>
      <c r="O36" s="1255"/>
      <c r="P36" s="60"/>
      <c r="Q36" s="17"/>
      <c r="R36" s="927">
        <f ca="1">IF(T38=1,1,0)</f>
        <v>0</v>
      </c>
      <c r="S36" s="876" t="s">
        <v>2003</v>
      </c>
      <c r="T36" s="484">
        <f>IF(AND($T$3=1,RIGHT(S35,2)*1&lt;=$T$4),1,0)</f>
        <v>0</v>
      </c>
      <c r="U36" s="933"/>
      <c r="V36" s="933"/>
      <c r="W36" s="933"/>
      <c r="X36" s="933"/>
      <c r="Y36" s="933"/>
      <c r="Z36" s="933"/>
      <c r="AA36" s="479"/>
      <c r="AB36" s="479"/>
      <c r="AC36" s="479"/>
      <c r="AD36" s="479"/>
      <c r="AE36" s="479"/>
      <c r="AF36" s="479"/>
      <c r="AG36" s="479"/>
      <c r="AH36" s="479"/>
      <c r="AI36" s="479"/>
      <c r="AJ36" s="479"/>
      <c r="AK36" s="479"/>
      <c r="AL36" s="479"/>
      <c r="AM36" s="479"/>
      <c r="AN36" s="479"/>
      <c r="AO36" s="479"/>
      <c r="AP36" s="479"/>
      <c r="AQ36" s="479"/>
    </row>
    <row r="37" spans="2:43" ht="15" hidden="1" customHeight="1" x14ac:dyDescent="0.25">
      <c r="B37" s="17"/>
      <c r="C37" s="949"/>
      <c r="D37" s="1255"/>
      <c r="E37" s="1255"/>
      <c r="F37" s="1255"/>
      <c r="G37" s="1255"/>
      <c r="H37" s="1255"/>
      <c r="I37" s="1255"/>
      <c r="J37" s="1255"/>
      <c r="K37" s="1255"/>
      <c r="L37" s="1255"/>
      <c r="M37" s="1255"/>
      <c r="N37" s="1255"/>
      <c r="O37" s="1255"/>
      <c r="P37" s="60"/>
      <c r="Q37" s="17"/>
      <c r="R37" s="927">
        <f ca="1">IF(T38=1,1,0)</f>
        <v>0</v>
      </c>
      <c r="S37" s="876" t="s">
        <v>2006</v>
      </c>
      <c r="T37" s="484" t="str">
        <f>IF(T36=1,RIGHT(LEFT($T$11,RIGHT(S35,2)*3),3)*1,"-")</f>
        <v>-</v>
      </c>
      <c r="U37" s="933"/>
      <c r="V37" s="933"/>
      <c r="W37" s="933"/>
      <c r="X37" s="933"/>
      <c r="Y37" s="933"/>
      <c r="Z37" s="933"/>
      <c r="AA37" s="479"/>
      <c r="AB37" s="479"/>
      <c r="AC37" s="479"/>
      <c r="AD37" s="479"/>
      <c r="AE37" s="479"/>
      <c r="AF37" s="479"/>
      <c r="AG37" s="479"/>
      <c r="AH37" s="479"/>
      <c r="AI37" s="479"/>
      <c r="AJ37" s="479"/>
      <c r="AK37" s="479"/>
      <c r="AL37" s="479"/>
      <c r="AM37" s="479"/>
      <c r="AN37" s="479"/>
      <c r="AO37" s="479"/>
      <c r="AP37" s="479"/>
      <c r="AQ37" s="479"/>
    </row>
    <row r="38" spans="2:43" ht="15" hidden="1" customHeight="1" x14ac:dyDescent="0.25">
      <c r="B38" s="17"/>
      <c r="C38" s="949"/>
      <c r="D38" s="1255"/>
      <c r="E38" s="1255"/>
      <c r="F38" s="1255"/>
      <c r="G38" s="1255"/>
      <c r="H38" s="1255"/>
      <c r="I38" s="1255"/>
      <c r="J38" s="1255"/>
      <c r="K38" s="1255"/>
      <c r="L38" s="1255"/>
      <c r="M38" s="1255"/>
      <c r="N38" s="1255"/>
      <c r="O38" s="1255"/>
      <c r="P38" s="60"/>
      <c r="Q38" s="17"/>
      <c r="R38" s="927">
        <f ca="1">IF(T38=1,1,0)</f>
        <v>0</v>
      </c>
      <c r="S38" s="876" t="s">
        <v>2008</v>
      </c>
      <c r="T38" s="484" cm="1">
        <f t="array" aca="1" ref="T38" ca="1">IF(AND($T$3=1,T36=1),IF(OR(ISBLANK(INDIRECT("G"&amp;T37)),TRIM(INDIRECT("G"&amp;T37))=""),0,1),0)</f>
        <v>0</v>
      </c>
      <c r="U38" s="933"/>
      <c r="V38" s="933"/>
      <c r="W38" s="933"/>
      <c r="X38" s="933"/>
      <c r="Y38" s="933"/>
      <c r="Z38" s="933"/>
      <c r="AA38" s="479"/>
      <c r="AB38" s="479"/>
      <c r="AC38" s="479"/>
      <c r="AD38" s="479"/>
      <c r="AE38" s="479"/>
      <c r="AF38" s="479"/>
      <c r="AG38" s="479"/>
      <c r="AH38" s="479"/>
      <c r="AI38" s="479"/>
      <c r="AJ38" s="479"/>
      <c r="AK38" s="479"/>
      <c r="AL38" s="479"/>
      <c r="AM38" s="479"/>
      <c r="AN38" s="479"/>
      <c r="AO38" s="479"/>
      <c r="AP38" s="479"/>
      <c r="AQ38" s="479"/>
    </row>
    <row r="39" spans="2:43" ht="15" hidden="1" customHeight="1" x14ac:dyDescent="0.25">
      <c r="B39" s="17"/>
      <c r="C39" s="949"/>
      <c r="D39" s="17"/>
      <c r="E39" s="17"/>
      <c r="F39" s="17"/>
      <c r="G39" s="17"/>
      <c r="H39" s="17"/>
      <c r="I39" s="17"/>
      <c r="J39" s="17"/>
      <c r="K39" s="17"/>
      <c r="L39" s="17"/>
      <c r="M39" s="17"/>
      <c r="N39" s="17"/>
      <c r="O39" s="17"/>
      <c r="P39" s="60"/>
      <c r="Q39" s="17"/>
      <c r="R39" s="927">
        <f>IF(T36=1,1,0)</f>
        <v>0</v>
      </c>
      <c r="S39" s="876" t="s">
        <v>2009</v>
      </c>
      <c r="T39" s="484" cm="1">
        <f t="array" aca="1" ref="T39" ca="1">IF(AND(T36=1,SUBSTITUTE($T$12,"|"&amp;N35&amp;"|","####")&lt;&gt;$T$12),INDIRECT("M"&amp;T37),0)</f>
        <v>0</v>
      </c>
      <c r="U39" s="936"/>
      <c r="V39" s="936"/>
      <c r="W39" s="936"/>
      <c r="X39" s="936"/>
      <c r="Y39" s="936"/>
      <c r="Z39" s="936"/>
      <c r="AA39" s="479"/>
      <c r="AB39" s="479"/>
      <c r="AC39" s="479"/>
      <c r="AD39" s="479"/>
      <c r="AE39" s="479"/>
      <c r="AF39" s="479"/>
      <c r="AG39" s="479"/>
      <c r="AH39" s="479"/>
      <c r="AI39" s="479"/>
      <c r="AJ39" s="479"/>
      <c r="AK39" s="479"/>
      <c r="AL39" s="479"/>
      <c r="AM39" s="479"/>
      <c r="AN39" s="479"/>
      <c r="AO39" s="479"/>
      <c r="AP39" s="479"/>
      <c r="AQ39" s="479"/>
    </row>
    <row r="40" spans="2:43" ht="15" hidden="1" customHeight="1" x14ac:dyDescent="0.25">
      <c r="B40" s="17"/>
      <c r="C40" s="949"/>
      <c r="D40" s="863" t="str" cm="1">
        <f t="array" aca="1" ref="D40" ca="1">IF(T41=1,INDIRECT("E"&amp;T42),"")</f>
        <v/>
      </c>
      <c r="E40" s="361"/>
      <c r="F40" s="361"/>
      <c r="G40" s="361"/>
      <c r="H40" s="361"/>
      <c r="I40" s="361"/>
      <c r="J40" s="361"/>
      <c r="K40" s="361"/>
      <c r="L40" s="361"/>
      <c r="M40" s="391" t="str">
        <f ca="1">Taal04!$B$264&amp;":"</f>
        <v>team selecteren:</v>
      </c>
      <c r="N40" s="903" t="s">
        <v>64</v>
      </c>
      <c r="O40" s="218" t="s">
        <v>848</v>
      </c>
      <c r="P40" s="60"/>
      <c r="Q40" s="17"/>
      <c r="R40" s="927">
        <f>IF(T41=1,1,0)</f>
        <v>0</v>
      </c>
      <c r="S40" s="879" t="str">
        <f>"Team "&amp;RIGHT("00"&amp;RIGHT(S35,2)*1+1,2)</f>
        <v>Team 06</v>
      </c>
      <c r="T40" s="880" t="str" cm="1">
        <f t="array" aca="1" ref="T40" ca="1">IF(AND($T$3=1,T41=1),INDIRECT("B"&amp;T42),"-")</f>
        <v>-</v>
      </c>
      <c r="U40" s="936"/>
      <c r="V40" s="936"/>
      <c r="W40" s="936"/>
      <c r="X40" s="936"/>
      <c r="Y40" s="936"/>
      <c r="Z40" s="936"/>
      <c r="AA40" s="479"/>
      <c r="AB40" s="479"/>
      <c r="AC40" s="479"/>
      <c r="AD40" s="479"/>
      <c r="AE40" s="479"/>
      <c r="AF40" s="479"/>
      <c r="AG40" s="479"/>
      <c r="AH40" s="479"/>
      <c r="AI40" s="479"/>
      <c r="AJ40" s="479"/>
      <c r="AK40" s="479"/>
      <c r="AL40" s="479"/>
      <c r="AM40" s="479"/>
      <c r="AN40" s="479"/>
      <c r="AO40" s="479"/>
      <c r="AP40" s="479"/>
      <c r="AQ40" s="479"/>
    </row>
    <row r="41" spans="2:43" ht="15" hidden="1" customHeight="1" x14ac:dyDescent="0.25">
      <c r="B41" s="17"/>
      <c r="C41" s="949"/>
      <c r="D41" s="1255" t="str" cm="1">
        <f t="array" aca="1" ref="D41" ca="1">IF(AND(T41=1,T43=1),INDIRECT("G"&amp;T42),"")</f>
        <v/>
      </c>
      <c r="E41" s="1255"/>
      <c r="F41" s="1255"/>
      <c r="G41" s="1255"/>
      <c r="H41" s="1255"/>
      <c r="I41" s="1255"/>
      <c r="J41" s="1255"/>
      <c r="K41" s="1255"/>
      <c r="L41" s="1255"/>
      <c r="M41" s="1255"/>
      <c r="N41" s="1255"/>
      <c r="O41" s="1255"/>
      <c r="P41" s="60"/>
      <c r="Q41" s="17"/>
      <c r="R41" s="927">
        <f ca="1">IF(T43=1,1,0)</f>
        <v>0</v>
      </c>
      <c r="S41" s="881" t="s">
        <v>2003</v>
      </c>
      <c r="T41" s="880">
        <f>IF(AND($T$3=1,RIGHT(S40,2)*1&lt;=$T$4),1,0)</f>
        <v>0</v>
      </c>
      <c r="U41" s="300"/>
      <c r="V41" s="922"/>
      <c r="W41" s="300"/>
      <c r="X41" s="300"/>
      <c r="Y41" s="300"/>
      <c r="Z41" s="300"/>
    </row>
    <row r="42" spans="2:43" ht="15" hidden="1" customHeight="1" x14ac:dyDescent="0.25">
      <c r="B42" s="17"/>
      <c r="C42" s="949"/>
      <c r="D42" s="1255"/>
      <c r="E42" s="1255"/>
      <c r="F42" s="1255"/>
      <c r="G42" s="1255"/>
      <c r="H42" s="1255"/>
      <c r="I42" s="1255"/>
      <c r="J42" s="1255"/>
      <c r="K42" s="1255"/>
      <c r="L42" s="1255"/>
      <c r="M42" s="1255"/>
      <c r="N42" s="1255"/>
      <c r="O42" s="1255"/>
      <c r="P42" s="60"/>
      <c r="Q42" s="17"/>
      <c r="R42" s="927">
        <f ca="1">IF(T43=1,1,0)</f>
        <v>0</v>
      </c>
      <c r="S42" s="881" t="s">
        <v>2006</v>
      </c>
      <c r="T42" s="880" t="str">
        <f>IF(T41=1,RIGHT(LEFT($T$11,RIGHT(S40,2)*3),3)*1,"-")</f>
        <v>-</v>
      </c>
      <c r="U42" s="300"/>
      <c r="V42" s="300"/>
      <c r="W42" s="300"/>
      <c r="X42" s="300"/>
      <c r="Y42" s="300"/>
      <c r="Z42" s="300"/>
    </row>
    <row r="43" spans="2:43" ht="15" hidden="1" customHeight="1" x14ac:dyDescent="0.25">
      <c r="B43" s="17"/>
      <c r="C43" s="949"/>
      <c r="D43" s="1255"/>
      <c r="E43" s="1255"/>
      <c r="F43" s="1255"/>
      <c r="G43" s="1255"/>
      <c r="H43" s="1255"/>
      <c r="I43" s="1255"/>
      <c r="J43" s="1255"/>
      <c r="K43" s="1255"/>
      <c r="L43" s="1255"/>
      <c r="M43" s="1255"/>
      <c r="N43" s="1255"/>
      <c r="O43" s="1255"/>
      <c r="P43" s="60"/>
      <c r="Q43" s="17"/>
      <c r="R43" s="927">
        <f ca="1">IF(T43=1,1,0)</f>
        <v>0</v>
      </c>
      <c r="S43" s="881" t="s">
        <v>2008</v>
      </c>
      <c r="T43" s="880" cm="1">
        <f t="array" aca="1" ref="T43" ca="1">IF(AND($T$3=1,T41=1),IF(OR(ISBLANK(INDIRECT("G"&amp;T42)),TRIM(INDIRECT("G"&amp;T42))=""),0,1),0)</f>
        <v>0</v>
      </c>
      <c r="U43" s="300"/>
      <c r="V43" s="300"/>
      <c r="W43" s="300"/>
      <c r="X43" s="300"/>
      <c r="Y43" s="300"/>
      <c r="Z43" s="300"/>
    </row>
    <row r="44" spans="2:43" ht="15" hidden="1" customHeight="1" x14ac:dyDescent="0.25">
      <c r="B44" s="17"/>
      <c r="C44" s="949"/>
      <c r="D44" s="17"/>
      <c r="E44" s="17"/>
      <c r="F44" s="17"/>
      <c r="G44" s="17"/>
      <c r="H44" s="17"/>
      <c r="I44" s="17"/>
      <c r="J44" s="17"/>
      <c r="K44" s="17"/>
      <c r="L44" s="17"/>
      <c r="M44" s="17"/>
      <c r="N44" s="17"/>
      <c r="O44" s="17"/>
      <c r="P44" s="60"/>
      <c r="Q44" s="17"/>
      <c r="R44" s="927">
        <f>IF(T41=1,1,0)</f>
        <v>0</v>
      </c>
      <c r="S44" s="881" t="s">
        <v>2009</v>
      </c>
      <c r="T44" s="880" cm="1">
        <f t="array" aca="1" ref="T44" ca="1">IF(AND(T41=1,SUBSTITUTE($T$12,"|"&amp;N40&amp;"|","####")&lt;&gt;$T$12),INDIRECT("M"&amp;T42),0)</f>
        <v>0</v>
      </c>
      <c r="U44" s="300"/>
      <c r="V44" s="300"/>
      <c r="W44" s="300"/>
      <c r="X44" s="300"/>
      <c r="Y44" s="300"/>
      <c r="Z44" s="300"/>
    </row>
    <row r="45" spans="2:43" ht="15" hidden="1" customHeight="1" x14ac:dyDescent="0.25">
      <c r="B45" s="17"/>
      <c r="C45" s="949"/>
      <c r="D45" s="863" t="str" cm="1">
        <f t="array" aca="1" ref="D45" ca="1">IF(T46=1,INDIRECT("E"&amp;T47),"")</f>
        <v/>
      </c>
      <c r="E45" s="361"/>
      <c r="F45" s="361"/>
      <c r="G45" s="361"/>
      <c r="H45" s="361"/>
      <c r="I45" s="361"/>
      <c r="J45" s="361"/>
      <c r="K45" s="361"/>
      <c r="L45" s="361"/>
      <c r="M45" s="391" t="str">
        <f ca="1">Taal04!$B$264&amp;":"</f>
        <v>team selecteren:</v>
      </c>
      <c r="N45" s="903" t="s">
        <v>64</v>
      </c>
      <c r="O45" s="218" t="s">
        <v>848</v>
      </c>
      <c r="P45" s="60"/>
      <c r="Q45" s="17"/>
      <c r="R45" s="927">
        <f>IF(T46=1,1,0)</f>
        <v>0</v>
      </c>
      <c r="S45" s="882" t="str">
        <f>"Team "&amp;RIGHT("00"&amp;RIGHT(S40,2)*1+1,2)</f>
        <v>Team 07</v>
      </c>
      <c r="T45" s="883" t="str" cm="1">
        <f t="array" aca="1" ref="T45" ca="1">IF(AND($T$3=1,T46=1),INDIRECT("B"&amp;T47),"-")</f>
        <v>-</v>
      </c>
      <c r="U45" s="300"/>
      <c r="V45" s="300"/>
      <c r="W45" s="300"/>
      <c r="X45" s="300"/>
      <c r="Y45" s="300"/>
      <c r="Z45" s="300"/>
    </row>
    <row r="46" spans="2:43" ht="15" hidden="1" customHeight="1" x14ac:dyDescent="0.25">
      <c r="B46" s="17"/>
      <c r="C46" s="949"/>
      <c r="D46" s="1255" t="str" cm="1">
        <f t="array" aca="1" ref="D46" ca="1">IF(AND(T46=1,T48=1),INDIRECT("G"&amp;T47),"")</f>
        <v/>
      </c>
      <c r="E46" s="1255"/>
      <c r="F46" s="1255"/>
      <c r="G46" s="1255"/>
      <c r="H46" s="1255"/>
      <c r="I46" s="1255"/>
      <c r="J46" s="1255"/>
      <c r="K46" s="1255"/>
      <c r="L46" s="1255"/>
      <c r="M46" s="1255"/>
      <c r="N46" s="1255"/>
      <c r="O46" s="1255"/>
      <c r="P46" s="60"/>
      <c r="Q46" s="17"/>
      <c r="R46" s="927">
        <f ca="1">IF(T48=1,1,0)</f>
        <v>0</v>
      </c>
      <c r="S46" s="884" t="s">
        <v>2003</v>
      </c>
      <c r="T46" s="883">
        <f>IF(AND($T$3=1,RIGHT(S45,2)*1&lt;=$T$4),1,0)</f>
        <v>0</v>
      </c>
      <c r="U46" s="300"/>
      <c r="V46" s="300"/>
      <c r="W46" s="300"/>
      <c r="X46" s="300"/>
      <c r="Y46" s="300"/>
      <c r="Z46" s="300"/>
    </row>
    <row r="47" spans="2:43" ht="15" hidden="1" customHeight="1" x14ac:dyDescent="0.25">
      <c r="B47" s="17"/>
      <c r="C47" s="949"/>
      <c r="D47" s="1255"/>
      <c r="E47" s="1255"/>
      <c r="F47" s="1255"/>
      <c r="G47" s="1255"/>
      <c r="H47" s="1255"/>
      <c r="I47" s="1255"/>
      <c r="J47" s="1255"/>
      <c r="K47" s="1255"/>
      <c r="L47" s="1255"/>
      <c r="M47" s="1255"/>
      <c r="N47" s="1255"/>
      <c r="O47" s="1255"/>
      <c r="P47" s="60"/>
      <c r="Q47" s="17"/>
      <c r="R47" s="927">
        <f ca="1">IF(T48=1,1,0)</f>
        <v>0</v>
      </c>
      <c r="S47" s="884" t="s">
        <v>2006</v>
      </c>
      <c r="T47" s="883" t="str">
        <f>IF(T46=1,RIGHT(LEFT($T$11,RIGHT(S45,2)*3),3)*1,"-")</f>
        <v>-</v>
      </c>
      <c r="U47" s="300"/>
      <c r="V47" s="300"/>
      <c r="W47" s="300"/>
      <c r="X47" s="300"/>
      <c r="Y47" s="300"/>
      <c r="Z47" s="300"/>
    </row>
    <row r="48" spans="2:43" ht="15" hidden="1" customHeight="1" x14ac:dyDescent="0.25">
      <c r="B48" s="17"/>
      <c r="C48" s="949"/>
      <c r="D48" s="1255"/>
      <c r="E48" s="1255"/>
      <c r="F48" s="1255"/>
      <c r="G48" s="1255"/>
      <c r="H48" s="1255"/>
      <c r="I48" s="1255"/>
      <c r="J48" s="1255"/>
      <c r="K48" s="1255"/>
      <c r="L48" s="1255"/>
      <c r="M48" s="1255"/>
      <c r="N48" s="1255"/>
      <c r="O48" s="1255"/>
      <c r="P48" s="60"/>
      <c r="Q48" s="17"/>
      <c r="R48" s="927">
        <f ca="1">IF(T48=1,1,0)</f>
        <v>0</v>
      </c>
      <c r="S48" s="884" t="s">
        <v>2008</v>
      </c>
      <c r="T48" s="883" cm="1">
        <f t="array" aca="1" ref="T48" ca="1">IF(AND($T$3=1,T46=1),IF(OR(ISBLANK(INDIRECT("G"&amp;T47)),TRIM(INDIRECT("G"&amp;T47))=""),0,1),0)</f>
        <v>0</v>
      </c>
      <c r="U48" s="1257"/>
      <c r="V48" s="923"/>
      <c r="W48" s="923"/>
      <c r="X48" s="923"/>
      <c r="Y48" s="923"/>
      <c r="Z48" s="923"/>
    </row>
    <row r="49" spans="2:26" ht="15" hidden="1" customHeight="1" x14ac:dyDescent="0.25">
      <c r="B49" s="17"/>
      <c r="C49" s="949"/>
      <c r="D49" s="17"/>
      <c r="E49" s="17"/>
      <c r="F49" s="17"/>
      <c r="G49" s="17"/>
      <c r="H49" s="17"/>
      <c r="I49" s="17"/>
      <c r="J49" s="17"/>
      <c r="K49" s="17"/>
      <c r="L49" s="17"/>
      <c r="M49" s="17"/>
      <c r="N49" s="17"/>
      <c r="O49" s="17"/>
      <c r="P49" s="60"/>
      <c r="Q49" s="17"/>
      <c r="R49" s="927">
        <f>IF(T46=1,1,0)</f>
        <v>0</v>
      </c>
      <c r="S49" s="884" t="s">
        <v>2009</v>
      </c>
      <c r="T49" s="883" cm="1">
        <f t="array" aca="1" ref="T49" ca="1">IF(AND(T46=1,SUBSTITUTE($T$12,"|"&amp;N45&amp;"|","####")&lt;&gt;$T$12),INDIRECT("M"&amp;T47),0)</f>
        <v>0</v>
      </c>
      <c r="U49" s="1257"/>
      <c r="V49" s="923"/>
      <c r="W49" s="923"/>
      <c r="X49" s="923"/>
      <c r="Y49" s="923"/>
      <c r="Z49" s="923"/>
    </row>
    <row r="50" spans="2:26" ht="15" hidden="1" customHeight="1" x14ac:dyDescent="0.25">
      <c r="B50" s="17"/>
      <c r="C50" s="949"/>
      <c r="D50" s="863" t="str" cm="1">
        <f t="array" aca="1" ref="D50" ca="1">IF(T51=1,INDIRECT("E"&amp;T52),"")</f>
        <v/>
      </c>
      <c r="E50" s="361"/>
      <c r="F50" s="361"/>
      <c r="G50" s="361"/>
      <c r="H50" s="361"/>
      <c r="I50" s="361"/>
      <c r="J50" s="361"/>
      <c r="K50" s="361"/>
      <c r="L50" s="361"/>
      <c r="M50" s="391" t="str">
        <f ca="1">Taal04!$B$264&amp;":"</f>
        <v>team selecteren:</v>
      </c>
      <c r="N50" s="903" t="s">
        <v>64</v>
      </c>
      <c r="O50" s="218" t="s">
        <v>848</v>
      </c>
      <c r="P50" s="60"/>
      <c r="Q50" s="17"/>
      <c r="R50" s="927">
        <f>IF(T51=1,1,0)</f>
        <v>0</v>
      </c>
      <c r="S50" s="885" t="str">
        <f>"Team "&amp;RIGHT("00"&amp;RIGHT(S45,2)*1+1,2)</f>
        <v>Team 08</v>
      </c>
      <c r="T50" s="886" t="str" cm="1">
        <f t="array" aca="1" ref="T50" ca="1">IF(AND($T$3=1,T51=1),INDIRECT("B"&amp;T52),"-")</f>
        <v>-</v>
      </c>
      <c r="U50" s="1257"/>
      <c r="V50" s="923"/>
      <c r="W50" s="923"/>
      <c r="X50" s="923"/>
      <c r="Y50" s="923"/>
      <c r="Z50" s="923"/>
    </row>
    <row r="51" spans="2:26" ht="15" hidden="1" customHeight="1" x14ac:dyDescent="0.25">
      <c r="B51" s="17"/>
      <c r="C51" s="949"/>
      <c r="D51" s="1255" t="str" cm="1">
        <f t="array" aca="1" ref="D51" ca="1">IF(AND(T51=1,T53=1),INDIRECT("G"&amp;T52),"")</f>
        <v/>
      </c>
      <c r="E51" s="1255"/>
      <c r="F51" s="1255"/>
      <c r="G51" s="1255"/>
      <c r="H51" s="1255"/>
      <c r="I51" s="1255"/>
      <c r="J51" s="1255"/>
      <c r="K51" s="1255"/>
      <c r="L51" s="1255"/>
      <c r="M51" s="1255"/>
      <c r="N51" s="1255"/>
      <c r="O51" s="1255"/>
      <c r="P51" s="60"/>
      <c r="Q51" s="17"/>
      <c r="R51" s="927">
        <f ca="1">IF(T53=1,1,0)</f>
        <v>0</v>
      </c>
      <c r="S51" s="887" t="s">
        <v>2003</v>
      </c>
      <c r="T51" s="886">
        <f>IF(AND($T$3=1,RIGHT(S50,2)*1&lt;=$T$4),1,0)</f>
        <v>0</v>
      </c>
      <c r="U51" s="777"/>
      <c r="V51" s="300"/>
      <c r="W51" s="300"/>
      <c r="X51" s="300"/>
      <c r="Y51" s="390"/>
      <c r="Z51" s="300"/>
    </row>
    <row r="52" spans="2:26" ht="15" hidden="1" customHeight="1" x14ac:dyDescent="0.25">
      <c r="B52" s="17"/>
      <c r="C52" s="949"/>
      <c r="D52" s="1255"/>
      <c r="E52" s="1255"/>
      <c r="F52" s="1255"/>
      <c r="G52" s="1255"/>
      <c r="H52" s="1255"/>
      <c r="I52" s="1255"/>
      <c r="J52" s="1255"/>
      <c r="K52" s="1255"/>
      <c r="L52" s="1255"/>
      <c r="M52" s="1255"/>
      <c r="N52" s="1255"/>
      <c r="O52" s="1255"/>
      <c r="P52" s="60"/>
      <c r="Q52" s="17"/>
      <c r="R52" s="927">
        <f ca="1">IF(T53=1,1,0)</f>
        <v>0</v>
      </c>
      <c r="S52" s="887" t="s">
        <v>2006</v>
      </c>
      <c r="T52" s="886" t="str">
        <f>IF(T51=1,RIGHT(LEFT($T$11,RIGHT(S50,2)*3),3)*1,"-")</f>
        <v>-</v>
      </c>
      <c r="U52" s="1257"/>
      <c r="V52" s="923"/>
      <c r="W52" s="923"/>
      <c r="X52" s="923"/>
      <c r="Y52" s="923"/>
      <c r="Z52" s="923"/>
    </row>
    <row r="53" spans="2:26" ht="15" hidden="1" customHeight="1" x14ac:dyDescent="0.25">
      <c r="B53" s="17"/>
      <c r="C53" s="949"/>
      <c r="D53" s="1255"/>
      <c r="E53" s="1255"/>
      <c r="F53" s="1255"/>
      <c r="G53" s="1255"/>
      <c r="H53" s="1255"/>
      <c r="I53" s="1255"/>
      <c r="J53" s="1255"/>
      <c r="K53" s="1255"/>
      <c r="L53" s="1255"/>
      <c r="M53" s="1255"/>
      <c r="N53" s="1255"/>
      <c r="O53" s="1255"/>
      <c r="P53" s="60"/>
      <c r="Q53" s="17"/>
      <c r="R53" s="927">
        <f ca="1">IF(T53=1,1,0)</f>
        <v>0</v>
      </c>
      <c r="S53" s="887" t="s">
        <v>2008</v>
      </c>
      <c r="T53" s="886" cm="1">
        <f t="array" aca="1" ref="T53" ca="1">IF(AND($T$3=1,T51=1),IF(OR(ISBLANK(INDIRECT("G"&amp;T52)),TRIM(INDIRECT("G"&amp;T52))=""),0,1),0)</f>
        <v>0</v>
      </c>
      <c r="U53" s="1257"/>
      <c r="V53" s="923"/>
      <c r="W53" s="923"/>
      <c r="X53" s="923"/>
      <c r="Y53" s="923"/>
      <c r="Z53" s="923"/>
    </row>
    <row r="54" spans="2:26" ht="15" hidden="1" customHeight="1" x14ac:dyDescent="0.25">
      <c r="B54" s="17"/>
      <c r="C54" s="949"/>
      <c r="D54" s="17"/>
      <c r="E54" s="17"/>
      <c r="F54" s="17"/>
      <c r="G54" s="17"/>
      <c r="H54" s="17"/>
      <c r="I54" s="17"/>
      <c r="J54" s="17"/>
      <c r="K54" s="17"/>
      <c r="L54" s="17"/>
      <c r="M54" s="17"/>
      <c r="N54" s="17"/>
      <c r="O54" s="17"/>
      <c r="P54" s="60"/>
      <c r="Q54" s="17"/>
      <c r="R54" s="927">
        <f>IF(T51=1,1,0)</f>
        <v>0</v>
      </c>
      <c r="S54" s="887" t="s">
        <v>2009</v>
      </c>
      <c r="T54" s="886" cm="1">
        <f t="array" aca="1" ref="T54" ca="1">IF(AND(T51=1,SUBSTITUTE($T$12,"|"&amp;N50&amp;"|","####")&lt;&gt;$T$12),INDIRECT("M"&amp;T52),0)</f>
        <v>0</v>
      </c>
      <c r="U54" s="777"/>
      <c r="V54" s="300"/>
      <c r="W54" s="300"/>
      <c r="X54" s="300"/>
      <c r="Y54" s="300"/>
      <c r="Z54" s="300"/>
    </row>
    <row r="55" spans="2:26" ht="15" hidden="1" customHeight="1" x14ac:dyDescent="0.25">
      <c r="B55" s="17"/>
      <c r="C55" s="949"/>
      <c r="D55" s="863" t="str" cm="1">
        <f t="array" aca="1" ref="D55" ca="1">IF(T56=1,INDIRECT("E"&amp;T57),"")</f>
        <v/>
      </c>
      <c r="E55" s="361"/>
      <c r="F55" s="361"/>
      <c r="G55" s="361"/>
      <c r="H55" s="361"/>
      <c r="I55" s="361"/>
      <c r="J55" s="361"/>
      <c r="K55" s="361"/>
      <c r="L55" s="361"/>
      <c r="M55" s="391" t="str">
        <f ca="1">Taal04!$B$264&amp;":"</f>
        <v>team selecteren:</v>
      </c>
      <c r="N55" s="903" t="s">
        <v>64</v>
      </c>
      <c r="O55" s="218" t="s">
        <v>848</v>
      </c>
      <c r="P55" s="60"/>
      <c r="Q55" s="17"/>
      <c r="R55" s="927">
        <f>IF(T56=1,1,0)</f>
        <v>0</v>
      </c>
      <c r="S55" s="888" t="str">
        <f>"Team "&amp;RIGHT("00"&amp;RIGHT(S50,2)*1+1,2)</f>
        <v>Team 09</v>
      </c>
      <c r="T55" s="889" t="str" cm="1">
        <f t="array" aca="1" ref="T55" ca="1">IF(AND($T$3=1,T56=1),INDIRECT("B"&amp;T57),"-")</f>
        <v>-</v>
      </c>
      <c r="U55" s="1257"/>
      <c r="V55" s="923"/>
      <c r="W55" s="923"/>
      <c r="X55" s="923"/>
      <c r="Y55" s="923"/>
      <c r="Z55" s="923"/>
    </row>
    <row r="56" spans="2:26" ht="15" hidden="1" customHeight="1" x14ac:dyDescent="0.25">
      <c r="B56" s="17"/>
      <c r="C56" s="949"/>
      <c r="D56" s="1255" t="str" cm="1">
        <f t="array" aca="1" ref="D56" ca="1">IF(AND(T56=1,T58=1),INDIRECT("G"&amp;T57),"")</f>
        <v/>
      </c>
      <c r="E56" s="1255"/>
      <c r="F56" s="1255"/>
      <c r="G56" s="1255"/>
      <c r="H56" s="1255"/>
      <c r="I56" s="1255"/>
      <c r="J56" s="1255"/>
      <c r="K56" s="1255"/>
      <c r="L56" s="1255"/>
      <c r="M56" s="1255"/>
      <c r="N56" s="1255"/>
      <c r="O56" s="1255"/>
      <c r="P56" s="60"/>
      <c r="Q56" s="17"/>
      <c r="R56" s="927">
        <f ca="1">IF(T58=1,1,0)</f>
        <v>0</v>
      </c>
      <c r="S56" s="890" t="s">
        <v>2003</v>
      </c>
      <c r="T56" s="889">
        <f>IF(AND($T$3=1,RIGHT(S55,2)*1&lt;=$T$4),1,0)</f>
        <v>0</v>
      </c>
      <c r="U56" s="1257"/>
      <c r="V56" s="923"/>
      <c r="W56" s="923"/>
      <c r="X56" s="923"/>
      <c r="Y56" s="923"/>
      <c r="Z56" s="923"/>
    </row>
    <row r="57" spans="2:26" ht="15" hidden="1" customHeight="1" x14ac:dyDescent="0.25">
      <c r="B57" s="17"/>
      <c r="C57" s="949"/>
      <c r="D57" s="1255"/>
      <c r="E57" s="1255"/>
      <c r="F57" s="1255"/>
      <c r="G57" s="1255"/>
      <c r="H57" s="1255"/>
      <c r="I57" s="1255"/>
      <c r="J57" s="1255"/>
      <c r="K57" s="1255"/>
      <c r="L57" s="1255"/>
      <c r="M57" s="1255"/>
      <c r="N57" s="1255"/>
      <c r="O57" s="1255"/>
      <c r="P57" s="60"/>
      <c r="Q57" s="17"/>
      <c r="R57" s="927">
        <f ca="1">IF(T58=1,1,0)</f>
        <v>0</v>
      </c>
      <c r="S57" s="890" t="s">
        <v>2006</v>
      </c>
      <c r="T57" s="889" t="str">
        <f>IF(T56=1,RIGHT(LEFT($T$11,RIGHT(S55,2)*3),3)*1,"-")</f>
        <v>-</v>
      </c>
      <c r="U57" s="1257"/>
      <c r="V57" s="923"/>
      <c r="W57" s="923"/>
      <c r="X57" s="923"/>
      <c r="Y57" s="923"/>
      <c r="Z57" s="923"/>
    </row>
    <row r="58" spans="2:26" ht="15" hidden="1" customHeight="1" x14ac:dyDescent="0.25">
      <c r="B58" s="17"/>
      <c r="C58" s="949"/>
      <c r="D58" s="1255"/>
      <c r="E58" s="1255"/>
      <c r="F58" s="1255"/>
      <c r="G58" s="1255"/>
      <c r="H58" s="1255"/>
      <c r="I58" s="1255"/>
      <c r="J58" s="1255"/>
      <c r="K58" s="1255"/>
      <c r="L58" s="1255"/>
      <c r="M58" s="1255"/>
      <c r="N58" s="1255"/>
      <c r="O58" s="1255"/>
      <c r="P58" s="60"/>
      <c r="Q58" s="17"/>
      <c r="R58" s="927">
        <f ca="1">IF(T58=1,1,0)</f>
        <v>0</v>
      </c>
      <c r="S58" s="890" t="s">
        <v>2008</v>
      </c>
      <c r="T58" s="889" cm="1">
        <f t="array" aca="1" ref="T58" ca="1">IF(AND($T$3=1,T56=1),IF(OR(ISBLANK(INDIRECT("G"&amp;T57)),TRIM(INDIRECT("G"&amp;T57))=""),0,1),0)</f>
        <v>0</v>
      </c>
      <c r="U58" s="777"/>
      <c r="V58" s="300"/>
      <c r="W58" s="300"/>
      <c r="X58" s="300"/>
      <c r="Y58" s="300"/>
      <c r="Z58" s="300"/>
    </row>
    <row r="59" spans="2:26" ht="15" hidden="1" customHeight="1" x14ac:dyDescent="0.25">
      <c r="B59" s="17"/>
      <c r="C59" s="949"/>
      <c r="D59" s="17"/>
      <c r="E59" s="17"/>
      <c r="F59" s="17"/>
      <c r="G59" s="17"/>
      <c r="H59" s="17"/>
      <c r="I59" s="17"/>
      <c r="J59" s="17"/>
      <c r="K59" s="17"/>
      <c r="L59" s="17"/>
      <c r="M59" s="17"/>
      <c r="N59" s="17"/>
      <c r="O59" s="17"/>
      <c r="P59" s="60"/>
      <c r="Q59" s="17"/>
      <c r="R59" s="927">
        <f>IF(T56=1,1,0)</f>
        <v>0</v>
      </c>
      <c r="S59" s="890" t="s">
        <v>2009</v>
      </c>
      <c r="T59" s="889" cm="1">
        <f t="array" aca="1" ref="T59" ca="1">IF(AND(T56=1,SUBSTITUTE($T$12,"|"&amp;N55&amp;"|","####")&lt;&gt;$T$12),INDIRECT("M"&amp;T57),0)</f>
        <v>0</v>
      </c>
      <c r="U59" s="1257"/>
      <c r="V59" s="923"/>
      <c r="W59" s="923"/>
      <c r="X59" s="923"/>
      <c r="Y59" s="923"/>
      <c r="Z59" s="923"/>
    </row>
    <row r="60" spans="2:26" ht="15" hidden="1" customHeight="1" x14ac:dyDescent="0.25">
      <c r="B60" s="17"/>
      <c r="C60" s="949"/>
      <c r="D60" s="863" t="str" cm="1">
        <f t="array" aca="1" ref="D60" ca="1">IF(T61=1,INDIRECT("E"&amp;T62),"")</f>
        <v/>
      </c>
      <c r="E60" s="361"/>
      <c r="F60" s="361"/>
      <c r="G60" s="361"/>
      <c r="H60" s="361"/>
      <c r="I60" s="361"/>
      <c r="J60" s="361"/>
      <c r="K60" s="361"/>
      <c r="L60" s="361"/>
      <c r="M60" s="391" t="str">
        <f ca="1">Taal04!$B$264&amp;":"</f>
        <v>team selecteren:</v>
      </c>
      <c r="N60" s="903" t="s">
        <v>64</v>
      </c>
      <c r="O60" s="218" t="s">
        <v>848</v>
      </c>
      <c r="P60" s="60"/>
      <c r="Q60" s="17"/>
      <c r="R60" s="927">
        <f>IF(T61=1,1,0)</f>
        <v>0</v>
      </c>
      <c r="S60" s="891" t="str">
        <f>"Team "&amp;RIGHT("00"&amp;RIGHT(S55,2)*1+1,2)</f>
        <v>Team 10</v>
      </c>
      <c r="T60" s="892" t="str" cm="1">
        <f t="array" aca="1" ref="T60" ca="1">IF(AND($T$3=1,T61=1),INDIRECT("B"&amp;T62),"-")</f>
        <v>-</v>
      </c>
      <c r="U60" s="1257"/>
      <c r="V60" s="923"/>
      <c r="W60" s="923"/>
      <c r="X60" s="923"/>
      <c r="Y60" s="923"/>
      <c r="Z60" s="923"/>
    </row>
    <row r="61" spans="2:26" ht="15" hidden="1" customHeight="1" x14ac:dyDescent="0.25">
      <c r="B61" s="17"/>
      <c r="C61" s="949"/>
      <c r="D61" s="1255" t="str" cm="1">
        <f t="array" aca="1" ref="D61" ca="1">IF(AND(T61=1,T63=1),INDIRECT("G"&amp;T62),"")</f>
        <v/>
      </c>
      <c r="E61" s="1255"/>
      <c r="F61" s="1255"/>
      <c r="G61" s="1255"/>
      <c r="H61" s="1255"/>
      <c r="I61" s="1255"/>
      <c r="J61" s="1255"/>
      <c r="K61" s="1255"/>
      <c r="L61" s="1255"/>
      <c r="M61" s="1255"/>
      <c r="N61" s="1255"/>
      <c r="O61" s="1255"/>
      <c r="P61" s="60"/>
      <c r="Q61" s="17"/>
      <c r="R61" s="927">
        <f ca="1">IF(T63=1,1,0)</f>
        <v>0</v>
      </c>
      <c r="S61" s="743" t="s">
        <v>2003</v>
      </c>
      <c r="T61" s="892">
        <f>IF(AND($T$3=1,RIGHT(S60,2)*1&lt;=$T$4),1,0)</f>
        <v>0</v>
      </c>
      <c r="U61" s="777"/>
      <c r="V61" s="300"/>
      <c r="W61" s="300"/>
      <c r="X61" s="300"/>
      <c r="Y61" s="300"/>
      <c r="Z61" s="300"/>
    </row>
    <row r="62" spans="2:26" ht="15" hidden="1" customHeight="1" x14ac:dyDescent="0.25">
      <c r="B62" s="17"/>
      <c r="C62" s="949"/>
      <c r="D62" s="1255"/>
      <c r="E62" s="1255"/>
      <c r="F62" s="1255"/>
      <c r="G62" s="1255"/>
      <c r="H62" s="1255"/>
      <c r="I62" s="1255"/>
      <c r="J62" s="1255"/>
      <c r="K62" s="1255"/>
      <c r="L62" s="1255"/>
      <c r="M62" s="1255"/>
      <c r="N62" s="1255"/>
      <c r="O62" s="1255"/>
      <c r="P62" s="60"/>
      <c r="Q62" s="17"/>
      <c r="R62" s="927">
        <f ca="1">IF(T63=1,1,0)</f>
        <v>0</v>
      </c>
      <c r="S62" s="743" t="s">
        <v>2006</v>
      </c>
      <c r="T62" s="892" t="str">
        <f>IF(T61=1,RIGHT(LEFT($T$11,RIGHT(S60,2)*3),3)*1,"-")</f>
        <v>-</v>
      </c>
      <c r="U62" s="777"/>
      <c r="V62" s="300"/>
      <c r="W62" s="300"/>
      <c r="X62" s="300"/>
      <c r="Y62" s="300"/>
      <c r="Z62" s="300"/>
    </row>
    <row r="63" spans="2:26" ht="15" hidden="1" customHeight="1" x14ac:dyDescent="0.25">
      <c r="B63" s="17"/>
      <c r="C63" s="949"/>
      <c r="D63" s="1255"/>
      <c r="E63" s="1255"/>
      <c r="F63" s="1255"/>
      <c r="G63" s="1255"/>
      <c r="H63" s="1255"/>
      <c r="I63" s="1255"/>
      <c r="J63" s="1255"/>
      <c r="K63" s="1255"/>
      <c r="L63" s="1255"/>
      <c r="M63" s="1255"/>
      <c r="N63" s="1255"/>
      <c r="O63" s="1255"/>
      <c r="P63" s="60"/>
      <c r="Q63" s="17"/>
      <c r="R63" s="927">
        <f ca="1">IF(T63=1,1,0)</f>
        <v>0</v>
      </c>
      <c r="S63" s="743" t="s">
        <v>2008</v>
      </c>
      <c r="T63" s="892" cm="1">
        <f t="array" aca="1" ref="T63" ca="1">IF(AND($T$3=1,T61=1),IF(OR(ISBLANK(INDIRECT("G"&amp;T62)),TRIM(INDIRECT("G"&amp;T62))=""),0,1),0)</f>
        <v>0</v>
      </c>
      <c r="U63" s="777"/>
      <c r="V63" s="300"/>
      <c r="W63" s="300"/>
      <c r="X63" s="300"/>
      <c r="Y63" s="300"/>
      <c r="Z63" s="300"/>
    </row>
    <row r="64" spans="2:26" ht="15" hidden="1" customHeight="1" x14ac:dyDescent="0.25">
      <c r="B64" s="17"/>
      <c r="C64" s="949"/>
      <c r="D64" s="17"/>
      <c r="E64" s="17"/>
      <c r="F64" s="17"/>
      <c r="G64" s="17"/>
      <c r="H64" s="17"/>
      <c r="I64" s="17"/>
      <c r="J64" s="17"/>
      <c r="K64" s="17"/>
      <c r="L64" s="17"/>
      <c r="M64" s="17"/>
      <c r="N64" s="17"/>
      <c r="O64" s="17"/>
      <c r="P64" s="60"/>
      <c r="Q64" s="17"/>
      <c r="R64" s="927">
        <f>IF(T61=1,1,0)</f>
        <v>0</v>
      </c>
      <c r="S64" s="743" t="s">
        <v>2009</v>
      </c>
      <c r="T64" s="892" cm="1">
        <f t="array" aca="1" ref="T64" ca="1">IF(AND(T61=1,SUBSTITUTE($T$12,"|"&amp;N60&amp;"|","####")&lt;&gt;$T$12),INDIRECT("M"&amp;T62),0)</f>
        <v>0</v>
      </c>
      <c r="U64" s="777"/>
      <c r="V64" s="300"/>
      <c r="W64" s="920"/>
      <c r="X64" s="300"/>
      <c r="Y64" s="300"/>
      <c r="Z64" s="300"/>
    </row>
    <row r="65" spans="2:26" ht="15" hidden="1" customHeight="1" x14ac:dyDescent="0.25">
      <c r="B65" s="17"/>
      <c r="C65" s="949"/>
      <c r="D65" s="17"/>
      <c r="E65" s="17"/>
      <c r="F65" s="17"/>
      <c r="G65" s="17"/>
      <c r="H65" s="17"/>
      <c r="I65" s="17"/>
      <c r="J65" s="17"/>
      <c r="K65" s="17"/>
      <c r="L65" s="17"/>
      <c r="M65" s="17"/>
      <c r="N65" s="17"/>
      <c r="O65" s="17"/>
      <c r="P65" s="60"/>
      <c r="Q65" s="17"/>
      <c r="R65" s="928">
        <f ca="1">IF($S$134=2,IF(T65=T71,0,1),0)</f>
        <v>0</v>
      </c>
      <c r="S65" s="296" t="s">
        <v>2121</v>
      </c>
      <c r="T65" s="235" t="str">
        <f ca="1">IF($S$134=2,IF(SUM($R$3:R64)&lt;$S$128,"↑ PAGINA 1","↓ PAGINA 2"),"n.v.t.")</f>
        <v>n.v.t.</v>
      </c>
      <c r="U65" s="777"/>
      <c r="V65" s="300"/>
      <c r="W65" s="300"/>
      <c r="X65" s="300"/>
      <c r="Y65" s="300"/>
      <c r="Z65" s="300"/>
    </row>
    <row r="66" spans="2:26" ht="15" hidden="1" customHeight="1" x14ac:dyDescent="0.25">
      <c r="B66" s="17"/>
      <c r="C66" s="949"/>
      <c r="D66" s="863" t="str" cm="1">
        <f t="array" aca="1" ref="D66" ca="1">IF(T67=1,INDIRECT("E"&amp;T68),"")</f>
        <v/>
      </c>
      <c r="E66" s="361"/>
      <c r="F66" s="361"/>
      <c r="G66" s="361"/>
      <c r="H66" s="361"/>
      <c r="I66" s="361"/>
      <c r="J66" s="361"/>
      <c r="K66" s="361"/>
      <c r="L66" s="361"/>
      <c r="M66" s="391" t="str">
        <f ca="1">Taal04!$B$264&amp;":"</f>
        <v>team selecteren:</v>
      </c>
      <c r="N66" s="903" t="s">
        <v>64</v>
      </c>
      <c r="O66" s="218" t="s">
        <v>848</v>
      </c>
      <c r="P66" s="60"/>
      <c r="Q66" s="17"/>
      <c r="R66" s="927">
        <f>IF(T67=1,1,0)</f>
        <v>0</v>
      </c>
      <c r="S66" s="283" t="str">
        <f>"Team "&amp;RIGHT("00"&amp;RIGHT(S60,2)*1+1,2)</f>
        <v>Team 11</v>
      </c>
      <c r="T66" s="435" t="str" cm="1">
        <f t="array" aca="1" ref="T66" ca="1">IF(AND($T$3=1,T67=1),INDIRECT("B"&amp;T68),"-")</f>
        <v>-</v>
      </c>
      <c r="U66" s="777"/>
      <c r="V66" s="300"/>
      <c r="W66" s="300"/>
      <c r="X66" s="300"/>
      <c r="Y66" s="300"/>
      <c r="Z66" s="300"/>
    </row>
    <row r="67" spans="2:26" ht="15" hidden="1" customHeight="1" x14ac:dyDescent="0.25">
      <c r="B67" s="17"/>
      <c r="C67" s="949"/>
      <c r="D67" s="1255" t="str" cm="1">
        <f t="array" aca="1" ref="D67" ca="1">IF(AND(T67=1,T69=1),INDIRECT("G"&amp;T68),"")</f>
        <v/>
      </c>
      <c r="E67" s="1255"/>
      <c r="F67" s="1255"/>
      <c r="G67" s="1255"/>
      <c r="H67" s="1255"/>
      <c r="I67" s="1255"/>
      <c r="J67" s="1255"/>
      <c r="K67" s="1255"/>
      <c r="L67" s="1255"/>
      <c r="M67" s="1255"/>
      <c r="N67" s="1255"/>
      <c r="O67" s="1255"/>
      <c r="P67" s="60"/>
      <c r="Q67" s="17"/>
      <c r="R67" s="927">
        <f ca="1">IF(T69=1,1,0)</f>
        <v>0</v>
      </c>
      <c r="S67" s="893" t="s">
        <v>2003</v>
      </c>
      <c r="T67" s="435">
        <f>IF(AND($T$3=1,RIGHT(S66,2)*1&lt;=$T$4),1,0)</f>
        <v>0</v>
      </c>
      <c r="U67" s="777"/>
      <c r="V67" s="300"/>
      <c r="W67" s="300"/>
      <c r="X67" s="300"/>
      <c r="Y67" s="300"/>
      <c r="Z67" s="300"/>
    </row>
    <row r="68" spans="2:26" ht="15" hidden="1" customHeight="1" x14ac:dyDescent="0.25">
      <c r="B68" s="17"/>
      <c r="C68" s="949"/>
      <c r="D68" s="1255"/>
      <c r="E68" s="1255"/>
      <c r="F68" s="1255"/>
      <c r="G68" s="1255"/>
      <c r="H68" s="1255"/>
      <c r="I68" s="1255"/>
      <c r="J68" s="1255"/>
      <c r="K68" s="1255"/>
      <c r="L68" s="1255"/>
      <c r="M68" s="1255"/>
      <c r="N68" s="1255"/>
      <c r="O68" s="1255"/>
      <c r="P68" s="60"/>
      <c r="Q68" s="17"/>
      <c r="R68" s="927">
        <f ca="1">IF(T69=1,1,0)</f>
        <v>0</v>
      </c>
      <c r="S68" s="893" t="s">
        <v>2006</v>
      </c>
      <c r="T68" s="435" t="str">
        <f>IF(T67=1,RIGHT(LEFT($T$11,RIGHT(S66,2)*3),3)*1,"-")</f>
        <v>-</v>
      </c>
      <c r="U68" s="777"/>
      <c r="V68" s="300"/>
      <c r="W68" s="300"/>
      <c r="X68" s="300"/>
      <c r="Y68" s="300"/>
      <c r="Z68" s="300"/>
    </row>
    <row r="69" spans="2:26" ht="15" hidden="1" customHeight="1" x14ac:dyDescent="0.25">
      <c r="B69" s="17"/>
      <c r="C69" s="949"/>
      <c r="D69" s="1255"/>
      <c r="E69" s="1255"/>
      <c r="F69" s="1255"/>
      <c r="G69" s="1255"/>
      <c r="H69" s="1255"/>
      <c r="I69" s="1255"/>
      <c r="J69" s="1255"/>
      <c r="K69" s="1255"/>
      <c r="L69" s="1255"/>
      <c r="M69" s="1255"/>
      <c r="N69" s="1255"/>
      <c r="O69" s="1255"/>
      <c r="P69" s="60"/>
      <c r="Q69" s="17"/>
      <c r="R69" s="927">
        <f ca="1">IF(T69=1,1,0)</f>
        <v>0</v>
      </c>
      <c r="S69" s="893" t="s">
        <v>2008</v>
      </c>
      <c r="T69" s="435" cm="1">
        <f t="array" aca="1" ref="T69" ca="1">IF(AND($T$3=1,T67=1),IF(OR(ISBLANK(INDIRECT("G"&amp;T68)),TRIM(INDIRECT("G"&amp;T68))=""),0,1),0)</f>
        <v>0</v>
      </c>
      <c r="U69" s="777"/>
      <c r="V69" s="300"/>
      <c r="W69" s="300"/>
      <c r="X69" s="300"/>
      <c r="Y69" s="300"/>
      <c r="Z69" s="300"/>
    </row>
    <row r="70" spans="2:26" ht="15" hidden="1" customHeight="1" x14ac:dyDescent="0.25">
      <c r="B70" s="17"/>
      <c r="C70" s="949"/>
      <c r="D70" s="17"/>
      <c r="E70" s="17"/>
      <c r="F70" s="17"/>
      <c r="G70" s="17"/>
      <c r="H70" s="17"/>
      <c r="I70" s="17"/>
      <c r="J70" s="17"/>
      <c r="K70" s="17"/>
      <c r="L70" s="17"/>
      <c r="M70" s="17"/>
      <c r="N70" s="17"/>
      <c r="O70" s="17"/>
      <c r="P70" s="60"/>
      <c r="Q70" s="17"/>
      <c r="R70" s="927">
        <f>IF(T67=1,1,0)</f>
        <v>0</v>
      </c>
      <c r="S70" s="893" t="s">
        <v>2009</v>
      </c>
      <c r="T70" s="435" cm="1">
        <f t="array" aca="1" ref="T70" ca="1">IF(AND(T67=1,SUBSTITUTE($T$12,"|"&amp;N66&amp;"|","####")&lt;&gt;$T$12),INDIRECT("M"&amp;T68),0)</f>
        <v>0</v>
      </c>
      <c r="U70" s="777"/>
      <c r="V70" s="300"/>
      <c r="W70" s="300"/>
      <c r="X70" s="300"/>
      <c r="Y70" s="300"/>
      <c r="Z70" s="300"/>
    </row>
    <row r="71" spans="2:26" ht="15" hidden="1" customHeight="1" x14ac:dyDescent="0.25">
      <c r="B71" s="17"/>
      <c r="C71" s="949"/>
      <c r="D71" s="17"/>
      <c r="E71" s="17"/>
      <c r="F71" s="17"/>
      <c r="G71" s="17"/>
      <c r="H71" s="17"/>
      <c r="I71" s="17"/>
      <c r="J71" s="17"/>
      <c r="K71" s="17"/>
      <c r="L71" s="17"/>
      <c r="M71" s="17"/>
      <c r="N71" s="17"/>
      <c r="O71" s="17"/>
      <c r="P71" s="60"/>
      <c r="Q71" s="17"/>
      <c r="R71" s="928">
        <f ca="1">IF($S$134=2,IF(T71=T77,0,1),0)</f>
        <v>0</v>
      </c>
      <c r="S71" s="296" t="s">
        <v>2121</v>
      </c>
      <c r="T71" s="235" t="str">
        <f ca="1">IF($S$134=2,IF(SUM(R3:R64,R66:R70)&lt;$S$128,"↑ PAGINA 1","↓ PAGINA 2"),"n.v.t.")</f>
        <v>n.v.t.</v>
      </c>
      <c r="U71" s="777"/>
      <c r="V71" s="300"/>
      <c r="W71" s="300"/>
      <c r="X71" s="300"/>
      <c r="Y71" s="300"/>
      <c r="Z71" s="300"/>
    </row>
    <row r="72" spans="2:26" ht="15" hidden="1" customHeight="1" x14ac:dyDescent="0.25">
      <c r="B72" s="17"/>
      <c r="C72" s="949"/>
      <c r="D72" s="863" t="str" cm="1">
        <f t="array" aca="1" ref="D72" ca="1">IF(T73=1,INDIRECT("E"&amp;T74),"")</f>
        <v/>
      </c>
      <c r="E72" s="361"/>
      <c r="F72" s="361"/>
      <c r="G72" s="361"/>
      <c r="H72" s="361"/>
      <c r="I72" s="361"/>
      <c r="J72" s="361"/>
      <c r="K72" s="361"/>
      <c r="L72" s="361"/>
      <c r="M72" s="391" t="str">
        <f ca="1">Taal04!$B$264&amp;":"</f>
        <v>team selecteren:</v>
      </c>
      <c r="N72" s="903" t="s">
        <v>64</v>
      </c>
      <c r="O72" s="218" t="s">
        <v>848</v>
      </c>
      <c r="P72" s="60"/>
      <c r="Q72" s="17"/>
      <c r="R72" s="927">
        <f>IF(T73=1,1,0)</f>
        <v>0</v>
      </c>
      <c r="S72" s="894" t="str">
        <f>"Team "&amp;RIGHT("00"&amp;RIGHT(S66,2)*1+1,2)</f>
        <v>Team 12</v>
      </c>
      <c r="T72" s="481" t="str" cm="1">
        <f t="array" aca="1" ref="T72" ca="1">IF(AND($T$3=1,T73=1),INDIRECT("B"&amp;T74),"-")</f>
        <v>-</v>
      </c>
      <c r="U72" s="777"/>
      <c r="V72" s="300"/>
      <c r="W72" s="300"/>
      <c r="X72" s="300"/>
      <c r="Y72" s="300"/>
      <c r="Z72" s="300"/>
    </row>
    <row r="73" spans="2:26" ht="15" hidden="1" customHeight="1" x14ac:dyDescent="0.25">
      <c r="B73" s="17"/>
      <c r="C73" s="949"/>
      <c r="D73" s="1255" t="str" cm="1">
        <f t="array" aca="1" ref="D73" ca="1">IF(AND(T73=1,T75=1),INDIRECT("G"&amp;T74),"")</f>
        <v/>
      </c>
      <c r="E73" s="1255"/>
      <c r="F73" s="1255"/>
      <c r="G73" s="1255"/>
      <c r="H73" s="1255"/>
      <c r="I73" s="1255"/>
      <c r="J73" s="1255"/>
      <c r="K73" s="1255"/>
      <c r="L73" s="1255"/>
      <c r="M73" s="1255"/>
      <c r="N73" s="1255"/>
      <c r="O73" s="1255"/>
      <c r="P73" s="60"/>
      <c r="Q73" s="17"/>
      <c r="R73" s="927">
        <f ca="1">IF(T75=1,1,0)</f>
        <v>0</v>
      </c>
      <c r="S73" s="895" t="s">
        <v>2003</v>
      </c>
      <c r="T73" s="481">
        <f>IF(AND($T$3=1,RIGHT(S72,2)*1&lt;=$T$4),1,0)</f>
        <v>0</v>
      </c>
      <c r="U73" s="777"/>
      <c r="V73" s="300"/>
      <c r="W73" s="300"/>
      <c r="X73" s="300"/>
      <c r="Y73" s="300"/>
      <c r="Z73" s="300"/>
    </row>
    <row r="74" spans="2:26" ht="15" hidden="1" customHeight="1" x14ac:dyDescent="0.25">
      <c r="B74" s="17"/>
      <c r="C74" s="949"/>
      <c r="D74" s="1255"/>
      <c r="E74" s="1255"/>
      <c r="F74" s="1255"/>
      <c r="G74" s="1255"/>
      <c r="H74" s="1255"/>
      <c r="I74" s="1255"/>
      <c r="J74" s="1255"/>
      <c r="K74" s="1255"/>
      <c r="L74" s="1255"/>
      <c r="M74" s="1255"/>
      <c r="N74" s="1255"/>
      <c r="O74" s="1255"/>
      <c r="P74" s="60"/>
      <c r="Q74" s="17"/>
      <c r="R74" s="927">
        <f ca="1">IF(T75=1,1,0)</f>
        <v>0</v>
      </c>
      <c r="S74" s="895" t="s">
        <v>2006</v>
      </c>
      <c r="T74" s="481" t="str">
        <f>IF(T73=1,RIGHT(LEFT($T$11,RIGHT(S72,2)*3),3)*1,"-")</f>
        <v>-</v>
      </c>
      <c r="U74" s="777"/>
      <c r="V74" s="300"/>
      <c r="W74" s="300"/>
      <c r="X74" s="300"/>
      <c r="Y74" s="300"/>
      <c r="Z74" s="300"/>
    </row>
    <row r="75" spans="2:26" ht="15" hidden="1" customHeight="1" x14ac:dyDescent="0.25">
      <c r="B75" s="17"/>
      <c r="C75" s="949"/>
      <c r="D75" s="1255"/>
      <c r="E75" s="1255"/>
      <c r="F75" s="1255"/>
      <c r="G75" s="1255"/>
      <c r="H75" s="1255"/>
      <c r="I75" s="1255"/>
      <c r="J75" s="1255"/>
      <c r="K75" s="1255"/>
      <c r="L75" s="1255"/>
      <c r="M75" s="1255"/>
      <c r="N75" s="1255"/>
      <c r="O75" s="1255"/>
      <c r="P75" s="60"/>
      <c r="Q75" s="17"/>
      <c r="R75" s="927">
        <f ca="1">IF(T75=1,1,0)</f>
        <v>0</v>
      </c>
      <c r="S75" s="895" t="s">
        <v>2008</v>
      </c>
      <c r="T75" s="481" cm="1">
        <f t="array" aca="1" ref="T75" ca="1">IF(AND($T$3=1,T73=1),IF(OR(ISBLANK(INDIRECT("G"&amp;T74)),TRIM(INDIRECT("G"&amp;T74))=""),0,1),0)</f>
        <v>0</v>
      </c>
      <c r="U75" s="777"/>
      <c r="V75" s="300"/>
      <c r="W75" s="300"/>
      <c r="X75" s="300"/>
      <c r="Y75" s="300"/>
      <c r="Z75" s="300"/>
    </row>
    <row r="76" spans="2:26" ht="15" hidden="1" customHeight="1" x14ac:dyDescent="0.25">
      <c r="B76" s="17"/>
      <c r="C76" s="949"/>
      <c r="D76" s="17"/>
      <c r="E76" s="17"/>
      <c r="F76" s="17"/>
      <c r="G76" s="17"/>
      <c r="H76" s="17"/>
      <c r="I76" s="17"/>
      <c r="J76" s="17"/>
      <c r="K76" s="17"/>
      <c r="L76" s="17"/>
      <c r="M76" s="17"/>
      <c r="N76" s="17"/>
      <c r="O76" s="17"/>
      <c r="P76" s="60"/>
      <c r="Q76" s="17"/>
      <c r="R76" s="927">
        <f>IF(T73=1,1,0)</f>
        <v>0</v>
      </c>
      <c r="S76" s="895" t="s">
        <v>2009</v>
      </c>
      <c r="T76" s="481" cm="1">
        <f t="array" aca="1" ref="T76" ca="1">IF(AND(T73=1,SUBSTITUTE($T$12,"|"&amp;N72&amp;"|","####")&lt;&gt;$T$12),INDIRECT("M"&amp;T74),0)</f>
        <v>0</v>
      </c>
      <c r="U76" s="777"/>
      <c r="V76" s="300"/>
      <c r="W76" s="300"/>
      <c r="X76" s="300"/>
      <c r="Y76" s="300"/>
      <c r="Z76" s="300"/>
    </row>
    <row r="77" spans="2:26" ht="15" hidden="1" customHeight="1" x14ac:dyDescent="0.25">
      <c r="B77" s="17"/>
      <c r="C77" s="949"/>
      <c r="D77" s="17"/>
      <c r="E77" s="17"/>
      <c r="F77" s="17"/>
      <c r="G77" s="17"/>
      <c r="H77" s="17"/>
      <c r="I77" s="17"/>
      <c r="J77" s="17"/>
      <c r="K77" s="17"/>
      <c r="L77" s="17"/>
      <c r="M77" s="17"/>
      <c r="N77" s="17"/>
      <c r="O77" s="17"/>
      <c r="P77" s="60"/>
      <c r="Q77" s="17"/>
      <c r="R77" s="928">
        <f ca="1">IF($S$134=2,IF(T77=T83,0,1),0)</f>
        <v>0</v>
      </c>
      <c r="S77" s="296" t="s">
        <v>2121</v>
      </c>
      <c r="T77" s="235" t="str">
        <f ca="1">IF($S$134=2,IF(SUM(R3:R64,R66:R70,R72:R76)&lt;$S$128,"↑ PAGINA 1","↓ PAGINA 2"),"n.v.t.")</f>
        <v>n.v.t.</v>
      </c>
      <c r="U77" s="777"/>
      <c r="V77" s="300"/>
      <c r="W77" s="300"/>
      <c r="X77" s="300"/>
      <c r="Y77" s="300"/>
      <c r="Z77" s="300"/>
    </row>
    <row r="78" spans="2:26" ht="15" hidden="1" customHeight="1" x14ac:dyDescent="0.25">
      <c r="B78" s="17"/>
      <c r="C78" s="949"/>
      <c r="D78" s="863" t="str" cm="1">
        <f t="array" aca="1" ref="D78" ca="1">IF(T79=1,INDIRECT("E"&amp;T80),"")</f>
        <v/>
      </c>
      <c r="E78" s="361"/>
      <c r="F78" s="361"/>
      <c r="G78" s="361"/>
      <c r="H78" s="361"/>
      <c r="I78" s="361"/>
      <c r="J78" s="361"/>
      <c r="K78" s="361"/>
      <c r="L78" s="361"/>
      <c r="M78" s="391" t="str">
        <f ca="1">Taal04!$B$264&amp;":"</f>
        <v>team selecteren:</v>
      </c>
      <c r="N78" s="903" t="s">
        <v>64</v>
      </c>
      <c r="O78" s="218" t="s">
        <v>848</v>
      </c>
      <c r="P78" s="60"/>
      <c r="Q78" s="17"/>
      <c r="R78" s="927">
        <f>IF(T79=1,1,0)</f>
        <v>0</v>
      </c>
      <c r="S78" s="896" t="str">
        <f>"Team "&amp;RIGHT("00"&amp;RIGHT(S72,2)*1+1,2)</f>
        <v>Team 13</v>
      </c>
      <c r="T78" s="897" t="str" cm="1">
        <f t="array" aca="1" ref="T78" ca="1">IF(AND($T$3=1,T79=1),INDIRECT("B"&amp;T80),"-")</f>
        <v>-</v>
      </c>
      <c r="U78" s="777"/>
      <c r="V78" s="300"/>
      <c r="W78" s="300"/>
      <c r="X78" s="300"/>
      <c r="Y78" s="300"/>
      <c r="Z78" s="300"/>
    </row>
    <row r="79" spans="2:26" ht="15" hidden="1" customHeight="1" x14ac:dyDescent="0.25">
      <c r="B79" s="17"/>
      <c r="C79" s="949"/>
      <c r="D79" s="1255" t="str" cm="1">
        <f t="array" aca="1" ref="D79" ca="1">IF(AND(T79=1,T81=1),INDIRECT("G"&amp;T80),"")</f>
        <v/>
      </c>
      <c r="E79" s="1255"/>
      <c r="F79" s="1255"/>
      <c r="G79" s="1255"/>
      <c r="H79" s="1255"/>
      <c r="I79" s="1255"/>
      <c r="J79" s="1255"/>
      <c r="K79" s="1255"/>
      <c r="L79" s="1255"/>
      <c r="M79" s="1255"/>
      <c r="N79" s="1255"/>
      <c r="O79" s="1255"/>
      <c r="P79" s="60"/>
      <c r="Q79" s="17"/>
      <c r="R79" s="927">
        <f ca="1">IF(T81=1,1,0)</f>
        <v>0</v>
      </c>
      <c r="S79" s="252" t="s">
        <v>2003</v>
      </c>
      <c r="T79" s="897">
        <f>IF(AND($T$3=1,RIGHT(S78,2)*1&lt;=$T$4),1,0)</f>
        <v>0</v>
      </c>
      <c r="U79" s="777"/>
      <c r="V79" s="300"/>
      <c r="W79" s="300"/>
      <c r="X79" s="300"/>
      <c r="Y79" s="300"/>
      <c r="Z79" s="300"/>
    </row>
    <row r="80" spans="2:26" ht="15" hidden="1" customHeight="1" x14ac:dyDescent="0.25">
      <c r="B80" s="17"/>
      <c r="C80" s="949"/>
      <c r="D80" s="1255"/>
      <c r="E80" s="1255"/>
      <c r="F80" s="1255"/>
      <c r="G80" s="1255"/>
      <c r="H80" s="1255"/>
      <c r="I80" s="1255"/>
      <c r="J80" s="1255"/>
      <c r="K80" s="1255"/>
      <c r="L80" s="1255"/>
      <c r="M80" s="1255"/>
      <c r="N80" s="1255"/>
      <c r="O80" s="1255"/>
      <c r="P80" s="60"/>
      <c r="Q80" s="17"/>
      <c r="R80" s="927">
        <f ca="1">IF(T81=1,1,0)</f>
        <v>0</v>
      </c>
      <c r="S80" s="252" t="s">
        <v>2006</v>
      </c>
      <c r="T80" s="897" t="str">
        <f>IF(T79=1,RIGHT(LEFT($T$11,RIGHT(S78,2)*3),3)*1,"-")</f>
        <v>-</v>
      </c>
      <c r="U80" s="777"/>
      <c r="V80" s="300"/>
      <c r="W80" s="300"/>
      <c r="X80" s="300"/>
      <c r="Y80" s="300"/>
      <c r="Z80" s="300"/>
    </row>
    <row r="81" spans="2:26" ht="15" hidden="1" customHeight="1" x14ac:dyDescent="0.25">
      <c r="B81" s="17"/>
      <c r="C81" s="949"/>
      <c r="D81" s="1255"/>
      <c r="E81" s="1255"/>
      <c r="F81" s="1255"/>
      <c r="G81" s="1255"/>
      <c r="H81" s="1255"/>
      <c r="I81" s="1255"/>
      <c r="J81" s="1255"/>
      <c r="K81" s="1255"/>
      <c r="L81" s="1255"/>
      <c r="M81" s="1255"/>
      <c r="N81" s="1255"/>
      <c r="O81" s="1255"/>
      <c r="P81" s="60"/>
      <c r="Q81" s="17"/>
      <c r="R81" s="927">
        <f ca="1">IF(T81=1,1,0)</f>
        <v>0</v>
      </c>
      <c r="S81" s="252" t="s">
        <v>2008</v>
      </c>
      <c r="T81" s="897" cm="1">
        <f t="array" aca="1" ref="T81" ca="1">IF(AND($T$3=1,T79=1),IF(OR(ISBLANK(INDIRECT("G"&amp;T80)),TRIM(INDIRECT("G"&amp;T80))=""),0,1),0)</f>
        <v>0</v>
      </c>
      <c r="U81" s="777"/>
      <c r="V81" s="300"/>
      <c r="W81" s="300"/>
      <c r="X81" s="300"/>
      <c r="Y81" s="300"/>
      <c r="Z81" s="300"/>
    </row>
    <row r="82" spans="2:26" ht="15" hidden="1" customHeight="1" x14ac:dyDescent="0.25">
      <c r="B82" s="17"/>
      <c r="C82" s="949"/>
      <c r="D82" s="17"/>
      <c r="E82" s="17"/>
      <c r="F82" s="17"/>
      <c r="G82" s="17"/>
      <c r="H82" s="17"/>
      <c r="I82" s="17"/>
      <c r="J82" s="17"/>
      <c r="K82" s="17"/>
      <c r="L82" s="17"/>
      <c r="M82" s="17"/>
      <c r="N82" s="17"/>
      <c r="O82" s="17"/>
      <c r="P82" s="60"/>
      <c r="Q82" s="17"/>
      <c r="R82" s="927">
        <f>IF(T79=1,1,0)</f>
        <v>0</v>
      </c>
      <c r="S82" s="252" t="s">
        <v>2009</v>
      </c>
      <c r="T82" s="897" cm="1">
        <f t="array" aca="1" ref="T82" ca="1">IF(AND(T79=1,SUBSTITUTE($T$12,"|"&amp;N78&amp;"|","####")&lt;&gt;$T$12),INDIRECT("M"&amp;T80),0)</f>
        <v>0</v>
      </c>
      <c r="U82" s="777"/>
      <c r="V82" s="300"/>
      <c r="W82" s="300"/>
      <c r="X82" s="300"/>
      <c r="Y82" s="300"/>
      <c r="Z82" s="300"/>
    </row>
    <row r="83" spans="2:26" ht="15" hidden="1" customHeight="1" x14ac:dyDescent="0.25">
      <c r="B83" s="17"/>
      <c r="C83" s="949"/>
      <c r="D83" s="17"/>
      <c r="E83" s="17"/>
      <c r="F83" s="17"/>
      <c r="G83" s="17"/>
      <c r="H83" s="17"/>
      <c r="I83" s="17"/>
      <c r="J83" s="17"/>
      <c r="K83" s="17"/>
      <c r="L83" s="17"/>
      <c r="M83" s="17"/>
      <c r="N83" s="17"/>
      <c r="O83" s="17"/>
      <c r="P83" s="60"/>
      <c r="Q83" s="17"/>
      <c r="R83" s="928">
        <f ca="1">IF($S$134=2,IF(T83=T89,0,1),0)</f>
        <v>0</v>
      </c>
      <c r="S83" s="296" t="s">
        <v>2121</v>
      </c>
      <c r="T83" s="235" t="str">
        <f ca="1">IF($S$134=2,IF(SUM(R3:R64,R66:R70,R72:R76,R78:R82)&lt;$S$128,"↑ PAGINA 1","↓ PAGINA 2"),"n.v.t.")</f>
        <v>n.v.t.</v>
      </c>
      <c r="U83" s="777"/>
      <c r="V83" s="300"/>
      <c r="W83" s="300"/>
      <c r="X83" s="300"/>
      <c r="Y83" s="300"/>
      <c r="Z83" s="300"/>
    </row>
    <row r="84" spans="2:26" ht="15" hidden="1" customHeight="1" x14ac:dyDescent="0.25">
      <c r="B84" s="17"/>
      <c r="C84" s="949"/>
      <c r="D84" s="863" t="str" cm="1">
        <f t="array" aca="1" ref="D84" ca="1">IF(T85=1,INDIRECT("E"&amp;T86),"")</f>
        <v/>
      </c>
      <c r="E84" s="361"/>
      <c r="F84" s="361"/>
      <c r="G84" s="361"/>
      <c r="H84" s="361"/>
      <c r="I84" s="361"/>
      <c r="J84" s="361"/>
      <c r="K84" s="361"/>
      <c r="L84" s="361"/>
      <c r="M84" s="391" t="str">
        <f ca="1">Taal04!$B$264&amp;":"</f>
        <v>team selecteren:</v>
      </c>
      <c r="N84" s="903" t="s">
        <v>64</v>
      </c>
      <c r="O84" s="218" t="s">
        <v>848</v>
      </c>
      <c r="P84" s="60"/>
      <c r="Q84" s="17"/>
      <c r="R84" s="927">
        <f>IF(T85=1,1,0)</f>
        <v>0</v>
      </c>
      <c r="S84" s="898" t="str">
        <f>"Team "&amp;RIGHT("00"&amp;RIGHT(S78,2)*1+1,2)</f>
        <v>Team 14</v>
      </c>
      <c r="T84" s="899" t="str" cm="1">
        <f t="array" aca="1" ref="T84" ca="1">IF(AND($T$3=1,T85=1),INDIRECT("B"&amp;T86),"-")</f>
        <v>-</v>
      </c>
      <c r="U84" s="777"/>
      <c r="V84" s="300"/>
      <c r="W84" s="300"/>
      <c r="X84" s="300"/>
      <c r="Y84" s="300"/>
      <c r="Z84" s="300"/>
    </row>
    <row r="85" spans="2:26" ht="15" hidden="1" customHeight="1" x14ac:dyDescent="0.25">
      <c r="B85" s="17"/>
      <c r="C85" s="949"/>
      <c r="D85" s="1255" t="str" cm="1">
        <f t="array" aca="1" ref="D85" ca="1">IF(AND(T85=1,T87=1),INDIRECT("G"&amp;T86),"")</f>
        <v/>
      </c>
      <c r="E85" s="1255"/>
      <c r="F85" s="1255"/>
      <c r="G85" s="1255"/>
      <c r="H85" s="1255"/>
      <c r="I85" s="1255"/>
      <c r="J85" s="1255"/>
      <c r="K85" s="1255"/>
      <c r="L85" s="1255"/>
      <c r="M85" s="1255"/>
      <c r="N85" s="1255"/>
      <c r="O85" s="1255"/>
      <c r="P85" s="60"/>
      <c r="Q85" s="17"/>
      <c r="R85" s="927">
        <f ca="1">IF(T87=1,1,0)</f>
        <v>0</v>
      </c>
      <c r="S85" s="900" t="s">
        <v>2003</v>
      </c>
      <c r="T85" s="899">
        <f>IF(AND($T$3=1,RIGHT(S84,2)*1&lt;=$T$4),1,0)</f>
        <v>0</v>
      </c>
      <c r="U85" s="777"/>
      <c r="V85" s="300"/>
      <c r="W85" s="300"/>
      <c r="X85" s="300"/>
      <c r="Y85" s="300"/>
      <c r="Z85" s="300"/>
    </row>
    <row r="86" spans="2:26" ht="15" hidden="1" customHeight="1" x14ac:dyDescent="0.25">
      <c r="B86" s="17"/>
      <c r="C86" s="949"/>
      <c r="D86" s="1255"/>
      <c r="E86" s="1255"/>
      <c r="F86" s="1255"/>
      <c r="G86" s="1255"/>
      <c r="H86" s="1255"/>
      <c r="I86" s="1255"/>
      <c r="J86" s="1255"/>
      <c r="K86" s="1255"/>
      <c r="L86" s="1255"/>
      <c r="M86" s="1255"/>
      <c r="N86" s="1255"/>
      <c r="O86" s="1255"/>
      <c r="P86" s="60"/>
      <c r="Q86" s="17"/>
      <c r="R86" s="927">
        <f ca="1">IF(T87=1,1,0)</f>
        <v>0</v>
      </c>
      <c r="S86" s="900" t="s">
        <v>2006</v>
      </c>
      <c r="T86" s="899" t="str">
        <f>IF(T85=1,RIGHT(LEFT($T$11,RIGHT(S84,2)*3),3)*1,"-")</f>
        <v>-</v>
      </c>
      <c r="U86" s="777"/>
      <c r="V86" s="300"/>
      <c r="W86" s="300"/>
      <c r="X86" s="300"/>
      <c r="Y86" s="300"/>
      <c r="Z86" s="300"/>
    </row>
    <row r="87" spans="2:26" ht="15" hidden="1" customHeight="1" x14ac:dyDescent="0.25">
      <c r="B87" s="17"/>
      <c r="C87" s="949"/>
      <c r="D87" s="1255"/>
      <c r="E87" s="1255"/>
      <c r="F87" s="1255"/>
      <c r="G87" s="1255"/>
      <c r="H87" s="1255"/>
      <c r="I87" s="1255"/>
      <c r="J87" s="1255"/>
      <c r="K87" s="1255"/>
      <c r="L87" s="1255"/>
      <c r="M87" s="1255"/>
      <c r="N87" s="1255"/>
      <c r="O87" s="1255"/>
      <c r="P87" s="60"/>
      <c r="Q87" s="17"/>
      <c r="R87" s="927">
        <f ca="1">IF(T87=1,1,0)</f>
        <v>0</v>
      </c>
      <c r="S87" s="900" t="s">
        <v>2008</v>
      </c>
      <c r="T87" s="899" cm="1">
        <f t="array" aca="1" ref="T87" ca="1">IF(AND($T$3=1,T85=1),IF(OR(ISBLANK(INDIRECT("G"&amp;T86)),TRIM(INDIRECT("G"&amp;T86))=""),0,1),0)</f>
        <v>0</v>
      </c>
      <c r="U87" s="777"/>
      <c r="V87" s="300"/>
      <c r="W87" s="300"/>
      <c r="X87" s="300"/>
      <c r="Y87" s="300"/>
      <c r="Z87" s="300"/>
    </row>
    <row r="88" spans="2:26" ht="15" hidden="1" customHeight="1" x14ac:dyDescent="0.25">
      <c r="B88" s="17"/>
      <c r="C88" s="949"/>
      <c r="D88" s="17"/>
      <c r="E88" s="17"/>
      <c r="F88" s="17"/>
      <c r="G88" s="17"/>
      <c r="H88" s="17"/>
      <c r="I88" s="17"/>
      <c r="J88" s="17"/>
      <c r="K88" s="17"/>
      <c r="L88" s="17"/>
      <c r="M88" s="17"/>
      <c r="N88" s="17"/>
      <c r="O88" s="17"/>
      <c r="P88" s="60"/>
      <c r="Q88" s="17"/>
      <c r="R88" s="927">
        <f>IF(T85=1,1,0)</f>
        <v>0</v>
      </c>
      <c r="S88" s="900" t="s">
        <v>2009</v>
      </c>
      <c r="T88" s="899" cm="1">
        <f t="array" aca="1" ref="T88" ca="1">IF(AND(T85=1,SUBSTITUTE($T$12,"|"&amp;N84&amp;"|","####")&lt;&gt;$T$12),INDIRECT("M"&amp;T86),0)</f>
        <v>0</v>
      </c>
      <c r="U88" s="777"/>
      <c r="V88" s="300"/>
      <c r="W88" s="300"/>
      <c r="X88" s="300"/>
      <c r="Y88" s="300"/>
      <c r="Z88" s="300"/>
    </row>
    <row r="89" spans="2:26" ht="15" hidden="1" customHeight="1" x14ac:dyDescent="0.25">
      <c r="B89" s="17"/>
      <c r="C89" s="949"/>
      <c r="D89" s="17"/>
      <c r="E89" s="17"/>
      <c r="F89" s="17"/>
      <c r="G89" s="17"/>
      <c r="H89" s="17"/>
      <c r="I89" s="17"/>
      <c r="J89" s="17"/>
      <c r="K89" s="17"/>
      <c r="L89" s="17"/>
      <c r="M89" s="17"/>
      <c r="N89" s="17"/>
      <c r="O89" s="17"/>
      <c r="P89" s="60"/>
      <c r="Q89" s="17"/>
      <c r="R89" s="928">
        <f ca="1">IF($S$134=2,IF(T89=T95,0,1),0)</f>
        <v>0</v>
      </c>
      <c r="S89" s="296" t="s">
        <v>2121</v>
      </c>
      <c r="T89" s="235" t="str">
        <f ca="1">IF($S$134=2,IF(SUM(R3:R64,R66:R70,R72:R76,R78:R82,R84:R88)&lt;$S$128,"↑ PAGINA 1","↓ PAGINA 2"),"n.v.t.")</f>
        <v>n.v.t.</v>
      </c>
      <c r="U89" s="777"/>
      <c r="V89" s="300"/>
      <c r="W89" s="300"/>
      <c r="X89" s="300"/>
      <c r="Y89" s="300"/>
      <c r="Z89" s="300"/>
    </row>
    <row r="90" spans="2:26" ht="15" hidden="1" customHeight="1" x14ac:dyDescent="0.25">
      <c r="B90" s="17"/>
      <c r="C90" s="949"/>
      <c r="D90" s="863" t="str" cm="1">
        <f t="array" aca="1" ref="D90" ca="1">IF(T91=1,INDIRECT("E"&amp;T92),"")</f>
        <v/>
      </c>
      <c r="E90" s="361"/>
      <c r="F90" s="361"/>
      <c r="G90" s="361"/>
      <c r="H90" s="361"/>
      <c r="I90" s="361"/>
      <c r="J90" s="361"/>
      <c r="K90" s="361"/>
      <c r="L90" s="361"/>
      <c r="M90" s="391" t="str">
        <f ca="1">Taal04!$B$264&amp;":"</f>
        <v>team selecteren:</v>
      </c>
      <c r="N90" s="903" t="s">
        <v>64</v>
      </c>
      <c r="O90" s="218" t="s">
        <v>848</v>
      </c>
      <c r="P90" s="60"/>
      <c r="Q90" s="17"/>
      <c r="R90" s="927">
        <f>IF(T91=1,1,0)</f>
        <v>0</v>
      </c>
      <c r="S90" s="901" t="str">
        <f>"Team "&amp;RIGHT("00"&amp;RIGHT(S84,2)*1+1,2)</f>
        <v>Team 15</v>
      </c>
      <c r="T90" s="736" t="str" cm="1">
        <f t="array" aca="1" ref="T90" ca="1">IF(AND($T$3=1,T91=1),INDIRECT("B"&amp;T92),"-")</f>
        <v>-</v>
      </c>
      <c r="U90" s="777"/>
      <c r="V90" s="300"/>
      <c r="W90" s="300"/>
      <c r="X90" s="300"/>
      <c r="Y90" s="300"/>
      <c r="Z90" s="300"/>
    </row>
    <row r="91" spans="2:26" ht="15" hidden="1" customHeight="1" x14ac:dyDescent="0.25">
      <c r="B91" s="17"/>
      <c r="C91" s="949"/>
      <c r="D91" s="1255" t="str" cm="1">
        <f t="array" aca="1" ref="D91" ca="1">IF(AND(T91=1,T93=1),INDIRECT("G"&amp;T92),"")</f>
        <v/>
      </c>
      <c r="E91" s="1255"/>
      <c r="F91" s="1255"/>
      <c r="G91" s="1255"/>
      <c r="H91" s="1255"/>
      <c r="I91" s="1255"/>
      <c r="J91" s="1255"/>
      <c r="K91" s="1255"/>
      <c r="L91" s="1255"/>
      <c r="M91" s="1255"/>
      <c r="N91" s="1255"/>
      <c r="O91" s="1255"/>
      <c r="P91" s="60"/>
      <c r="Q91" s="17"/>
      <c r="R91" s="927">
        <f ca="1">IF(T93=1,1,0)</f>
        <v>0</v>
      </c>
      <c r="S91" s="902" t="s">
        <v>2003</v>
      </c>
      <c r="T91" s="736">
        <f>IF(AND($T$3=1,RIGHT(S90,2)*1&lt;=$T$4),1,0)</f>
        <v>0</v>
      </c>
      <c r="U91" s="777"/>
      <c r="V91" s="300"/>
      <c r="W91" s="300"/>
      <c r="X91" s="300"/>
      <c r="Y91" s="300"/>
      <c r="Z91" s="300"/>
    </row>
    <row r="92" spans="2:26" ht="15" hidden="1" customHeight="1" x14ac:dyDescent="0.25">
      <c r="B92" s="17"/>
      <c r="C92" s="949"/>
      <c r="D92" s="1255"/>
      <c r="E92" s="1255"/>
      <c r="F92" s="1255"/>
      <c r="G92" s="1255"/>
      <c r="H92" s="1255"/>
      <c r="I92" s="1255"/>
      <c r="J92" s="1255"/>
      <c r="K92" s="1255"/>
      <c r="L92" s="1255"/>
      <c r="M92" s="1255"/>
      <c r="N92" s="1255"/>
      <c r="O92" s="1255"/>
      <c r="P92" s="60"/>
      <c r="Q92" s="17"/>
      <c r="R92" s="927">
        <f ca="1">IF(T93=1,1,0)</f>
        <v>0</v>
      </c>
      <c r="S92" s="902" t="s">
        <v>2006</v>
      </c>
      <c r="T92" s="736" t="str">
        <f>IF(T91=1,RIGHT(LEFT($T$11,RIGHT(S90,2)*3),3)*1,"-")</f>
        <v>-</v>
      </c>
      <c r="U92" s="777"/>
      <c r="V92" s="300"/>
      <c r="W92" s="300"/>
      <c r="X92" s="300"/>
      <c r="Y92" s="300"/>
      <c r="Z92" s="300"/>
    </row>
    <row r="93" spans="2:26" ht="15" hidden="1" customHeight="1" x14ac:dyDescent="0.25">
      <c r="B93" s="17"/>
      <c r="C93" s="949"/>
      <c r="D93" s="1255"/>
      <c r="E93" s="1255"/>
      <c r="F93" s="1255"/>
      <c r="G93" s="1255"/>
      <c r="H93" s="1255"/>
      <c r="I93" s="1255"/>
      <c r="J93" s="1255"/>
      <c r="K93" s="1255"/>
      <c r="L93" s="1255"/>
      <c r="M93" s="1255"/>
      <c r="N93" s="1255"/>
      <c r="O93" s="1255"/>
      <c r="P93" s="60"/>
      <c r="Q93" s="17"/>
      <c r="R93" s="927">
        <f ca="1">IF(T93=1,1,0)</f>
        <v>0</v>
      </c>
      <c r="S93" s="902" t="s">
        <v>2008</v>
      </c>
      <c r="T93" s="736" cm="1">
        <f t="array" aca="1" ref="T93" ca="1">IF(AND($T$3=1,T91=1),IF(OR(ISBLANK(INDIRECT("G"&amp;T92)),TRIM(INDIRECT("G"&amp;T92))=""),0,1),0)</f>
        <v>0</v>
      </c>
      <c r="U93" s="777"/>
      <c r="V93" s="300"/>
      <c r="W93" s="300"/>
      <c r="X93" s="300"/>
      <c r="Y93" s="300"/>
      <c r="Z93" s="300"/>
    </row>
    <row r="94" spans="2:26" ht="15" hidden="1" customHeight="1" x14ac:dyDescent="0.25">
      <c r="B94" s="17"/>
      <c r="C94" s="949"/>
      <c r="D94" s="17"/>
      <c r="E94" s="17"/>
      <c r="F94" s="17"/>
      <c r="G94" s="17"/>
      <c r="H94" s="17"/>
      <c r="I94" s="17"/>
      <c r="J94" s="17"/>
      <c r="K94" s="17"/>
      <c r="L94" s="17"/>
      <c r="M94" s="17"/>
      <c r="N94" s="17"/>
      <c r="O94" s="17"/>
      <c r="P94" s="60"/>
      <c r="Q94" s="17"/>
      <c r="R94" s="927">
        <f>IF(T91=1,1,0)</f>
        <v>0</v>
      </c>
      <c r="S94" s="902" t="s">
        <v>2009</v>
      </c>
      <c r="T94" s="736" cm="1">
        <f t="array" aca="1" ref="T94" ca="1">IF(AND(T91=1,SUBSTITUTE($T$12,"|"&amp;N90&amp;"|","####")&lt;&gt;$T$12),INDIRECT("M"&amp;T92),0)</f>
        <v>0</v>
      </c>
      <c r="U94" s="777"/>
      <c r="V94" s="300"/>
      <c r="W94" s="300"/>
      <c r="X94" s="300"/>
      <c r="Y94" s="300"/>
      <c r="Z94" s="300"/>
    </row>
    <row r="95" spans="2:26" ht="15" hidden="1" customHeight="1" x14ac:dyDescent="0.25">
      <c r="B95" s="17"/>
      <c r="C95" s="949"/>
      <c r="D95" s="17"/>
      <c r="E95" s="17"/>
      <c r="F95" s="17"/>
      <c r="G95" s="17"/>
      <c r="H95" s="17"/>
      <c r="I95" s="17"/>
      <c r="J95" s="17"/>
      <c r="K95" s="17"/>
      <c r="L95" s="17"/>
      <c r="M95" s="17"/>
      <c r="N95" s="17"/>
      <c r="O95" s="17"/>
      <c r="P95" s="60"/>
      <c r="Q95" s="17"/>
      <c r="R95" s="928">
        <f ca="1">IF($S$134=2,IF(T95=T101,0,1),0)</f>
        <v>0</v>
      </c>
      <c r="S95" s="296" t="s">
        <v>2121</v>
      </c>
      <c r="T95" s="235" t="str">
        <f ca="1">IF($S$134=2,IF(SUM(R3:R64,R66:R70,R72:R76,R78:R82,R84:R88,R90:R94)&lt;$S$128,"↑ PAGINA 1","↓ PAGINA 2"),"n.v.t.")</f>
        <v>n.v.t.</v>
      </c>
      <c r="U95" s="777"/>
      <c r="V95" s="300"/>
      <c r="W95" s="300"/>
      <c r="X95" s="300"/>
      <c r="Y95" s="300"/>
      <c r="Z95" s="300"/>
    </row>
    <row r="96" spans="2:26" ht="15" hidden="1" customHeight="1" x14ac:dyDescent="0.25">
      <c r="B96" s="17"/>
      <c r="C96" s="949"/>
      <c r="D96" s="863" t="str" cm="1">
        <f t="array" aca="1" ref="D96" ca="1">IF(T97=1,INDIRECT("E"&amp;T98),"")</f>
        <v/>
      </c>
      <c r="E96" s="361"/>
      <c r="F96" s="361"/>
      <c r="G96" s="361"/>
      <c r="H96" s="361"/>
      <c r="I96" s="361"/>
      <c r="J96" s="361"/>
      <c r="K96" s="361"/>
      <c r="L96" s="361"/>
      <c r="M96" s="391" t="str">
        <f ca="1">Taal04!$B$264&amp;":"</f>
        <v>team selecteren:</v>
      </c>
      <c r="N96" s="903" t="s">
        <v>64</v>
      </c>
      <c r="O96" s="218" t="s">
        <v>848</v>
      </c>
      <c r="P96" s="60"/>
      <c r="Q96" s="17"/>
      <c r="R96" s="927">
        <f>IF(T97=1,1,0)</f>
        <v>0</v>
      </c>
      <c r="S96" s="904" t="str">
        <f>"Team "&amp;RIGHT("00"&amp;RIGHT(S90,2)*1+1,2)</f>
        <v>Team 16</v>
      </c>
      <c r="T96" s="434" t="str" cm="1">
        <f t="array" aca="1" ref="T96" ca="1">IF(AND($T$3=1,T97=1),INDIRECT("B"&amp;T98),"-")</f>
        <v>-</v>
      </c>
      <c r="U96" s="777"/>
      <c r="V96" s="300"/>
      <c r="W96" s="300"/>
      <c r="X96" s="300"/>
      <c r="Y96" s="300"/>
      <c r="Z96" s="300"/>
    </row>
    <row r="97" spans="2:26" ht="15" hidden="1" customHeight="1" x14ac:dyDescent="0.25">
      <c r="B97" s="17"/>
      <c r="C97" s="949"/>
      <c r="D97" s="1255" t="str" cm="1">
        <f t="array" aca="1" ref="D97" ca="1">IF(AND(T97=1,T99=1),INDIRECT("G"&amp;T98),"")</f>
        <v/>
      </c>
      <c r="E97" s="1255"/>
      <c r="F97" s="1255"/>
      <c r="G97" s="1255"/>
      <c r="H97" s="1255"/>
      <c r="I97" s="1255"/>
      <c r="J97" s="1255"/>
      <c r="K97" s="1255"/>
      <c r="L97" s="1255"/>
      <c r="M97" s="1255"/>
      <c r="N97" s="1255"/>
      <c r="O97" s="1255"/>
      <c r="P97" s="60"/>
      <c r="Q97" s="17"/>
      <c r="R97" s="927">
        <f ca="1">IF(T99=1,1,0)</f>
        <v>0</v>
      </c>
      <c r="S97" s="905" t="s">
        <v>2003</v>
      </c>
      <c r="T97" s="434">
        <f>IF(AND($T$3=1,RIGHT(S96,2)*1&lt;=$T$4),1,0)</f>
        <v>0</v>
      </c>
      <c r="U97" s="777"/>
      <c r="V97" s="300"/>
      <c r="W97" s="300"/>
      <c r="X97" s="300"/>
      <c r="Y97" s="300"/>
      <c r="Z97" s="300"/>
    </row>
    <row r="98" spans="2:26" ht="15" hidden="1" customHeight="1" x14ac:dyDescent="0.25">
      <c r="B98" s="17"/>
      <c r="C98" s="949"/>
      <c r="D98" s="1255"/>
      <c r="E98" s="1255"/>
      <c r="F98" s="1255"/>
      <c r="G98" s="1255"/>
      <c r="H98" s="1255"/>
      <c r="I98" s="1255"/>
      <c r="J98" s="1255"/>
      <c r="K98" s="1255"/>
      <c r="L98" s="1255"/>
      <c r="M98" s="1255"/>
      <c r="N98" s="1255"/>
      <c r="O98" s="1255"/>
      <c r="P98" s="60"/>
      <c r="Q98" s="17"/>
      <c r="R98" s="927">
        <f ca="1">IF(T99=1,1,0)</f>
        <v>0</v>
      </c>
      <c r="S98" s="905" t="s">
        <v>2006</v>
      </c>
      <c r="T98" s="434" t="str">
        <f>IF(T97=1,RIGHT(LEFT($T$11,RIGHT(S96,2)*3),3)*1,"-")</f>
        <v>-</v>
      </c>
      <c r="U98" s="777"/>
      <c r="V98" s="300"/>
      <c r="W98" s="300"/>
      <c r="X98" s="300"/>
      <c r="Y98" s="300"/>
      <c r="Z98" s="300"/>
    </row>
    <row r="99" spans="2:26" ht="15" hidden="1" customHeight="1" x14ac:dyDescent="0.25">
      <c r="B99" s="17"/>
      <c r="C99" s="949"/>
      <c r="D99" s="1255"/>
      <c r="E99" s="1255"/>
      <c r="F99" s="1255"/>
      <c r="G99" s="1255"/>
      <c r="H99" s="1255"/>
      <c r="I99" s="1255"/>
      <c r="J99" s="1255"/>
      <c r="K99" s="1255"/>
      <c r="L99" s="1255"/>
      <c r="M99" s="1255"/>
      <c r="N99" s="1255"/>
      <c r="O99" s="1255"/>
      <c r="P99" s="60"/>
      <c r="Q99" s="17"/>
      <c r="R99" s="927">
        <f ca="1">IF(T99=1,1,0)</f>
        <v>0</v>
      </c>
      <c r="S99" s="905" t="s">
        <v>2008</v>
      </c>
      <c r="T99" s="434" cm="1">
        <f t="array" aca="1" ref="T99" ca="1">IF(AND($T$3=1,T97=1),IF(OR(ISBLANK(INDIRECT("G"&amp;T98)),TRIM(INDIRECT("G"&amp;T98))=""),0,1),0)</f>
        <v>0</v>
      </c>
      <c r="U99" s="777"/>
      <c r="V99" s="300"/>
      <c r="W99" s="300"/>
      <c r="X99" s="300"/>
      <c r="Y99" s="300"/>
      <c r="Z99" s="300"/>
    </row>
    <row r="100" spans="2:26" ht="15" hidden="1" customHeight="1" x14ac:dyDescent="0.25">
      <c r="B100" s="17"/>
      <c r="C100" s="949"/>
      <c r="D100" s="17"/>
      <c r="E100" s="17"/>
      <c r="F100" s="17"/>
      <c r="G100" s="17"/>
      <c r="H100" s="17"/>
      <c r="I100" s="17"/>
      <c r="J100" s="17"/>
      <c r="K100" s="17"/>
      <c r="L100" s="17"/>
      <c r="M100" s="17"/>
      <c r="N100" s="17"/>
      <c r="O100" s="17"/>
      <c r="P100" s="60"/>
      <c r="Q100" s="17"/>
      <c r="R100" s="927">
        <f>IF(T97=1,1,0)</f>
        <v>0</v>
      </c>
      <c r="S100" s="905" t="s">
        <v>2009</v>
      </c>
      <c r="T100" s="434" cm="1">
        <f t="array" aca="1" ref="T100" ca="1">IF(AND(T97=1,SUBSTITUTE($T$12,"|"&amp;N96&amp;"|","####")&lt;&gt;$T$12),INDIRECT("M"&amp;T98),0)</f>
        <v>0</v>
      </c>
      <c r="U100" s="777"/>
      <c r="V100" s="300"/>
      <c r="W100" s="300"/>
      <c r="X100" s="300"/>
      <c r="Y100" s="300"/>
      <c r="Z100" s="300"/>
    </row>
    <row r="101" spans="2:26" ht="15" hidden="1" customHeight="1" x14ac:dyDescent="0.25">
      <c r="B101" s="17"/>
      <c r="C101" s="949"/>
      <c r="D101" s="17"/>
      <c r="E101" s="17"/>
      <c r="F101" s="17"/>
      <c r="G101" s="17"/>
      <c r="H101" s="17"/>
      <c r="I101" s="17"/>
      <c r="J101" s="17"/>
      <c r="K101" s="17"/>
      <c r="L101" s="17"/>
      <c r="M101" s="17"/>
      <c r="N101" s="17"/>
      <c r="O101" s="17"/>
      <c r="P101" s="60"/>
      <c r="Q101" s="17"/>
      <c r="R101" s="928">
        <f ca="1">IF($S$134=2,IF(T101=T107,0,1),0)</f>
        <v>0</v>
      </c>
      <c r="S101" s="296" t="s">
        <v>2121</v>
      </c>
      <c r="T101" s="235" t="str">
        <f ca="1">IF($S$134=2,IF(SUM(R3:R64,R66:R70,R72:R76,R78:R82,R84:R88,R90:R94,R96:R100)&lt;$S$128,"↑ PAGINA 1","↓ PAGINA 2"),"n.v.t.")</f>
        <v>n.v.t.</v>
      </c>
      <c r="U101" s="777"/>
      <c r="V101" s="300"/>
      <c r="W101" s="300"/>
      <c r="X101" s="300"/>
      <c r="Y101" s="300"/>
      <c r="Z101" s="300"/>
    </row>
    <row r="102" spans="2:26" ht="15" hidden="1" customHeight="1" x14ac:dyDescent="0.25">
      <c r="B102" s="17"/>
      <c r="C102" s="949"/>
      <c r="D102" s="863" t="str" cm="1">
        <f t="array" aca="1" ref="D102" ca="1">IF(T103=1,INDIRECT("E"&amp;T104),"")</f>
        <v/>
      </c>
      <c r="E102" s="361"/>
      <c r="F102" s="361"/>
      <c r="G102" s="361"/>
      <c r="H102" s="361"/>
      <c r="I102" s="361"/>
      <c r="J102" s="361"/>
      <c r="K102" s="361"/>
      <c r="L102" s="361"/>
      <c r="M102" s="391" t="str">
        <f ca="1">Taal04!$B$264&amp;":"</f>
        <v>team selecteren:</v>
      </c>
      <c r="N102" s="903" t="s">
        <v>64</v>
      </c>
      <c r="O102" s="218" t="s">
        <v>848</v>
      </c>
      <c r="P102" s="60"/>
      <c r="Q102" s="17"/>
      <c r="R102" s="927">
        <f>IF(T103=1,1,0)</f>
        <v>0</v>
      </c>
      <c r="S102" s="906" t="str">
        <f>"Team "&amp;RIGHT("00"&amp;RIGHT(S96,2)*1+1,2)</f>
        <v>Team 17</v>
      </c>
      <c r="T102" s="907" t="str" cm="1">
        <f t="array" aca="1" ref="T102" ca="1">IF(AND($T$3=1,T103=1),INDIRECT("B"&amp;T104),"-")</f>
        <v>-</v>
      </c>
      <c r="U102" s="777"/>
      <c r="V102" s="300"/>
      <c r="W102" s="300"/>
      <c r="X102" s="300"/>
      <c r="Y102" s="300"/>
      <c r="Z102" s="300"/>
    </row>
    <row r="103" spans="2:26" ht="15" hidden="1" customHeight="1" x14ac:dyDescent="0.25">
      <c r="B103" s="17"/>
      <c r="C103" s="949"/>
      <c r="D103" s="1255" t="str" cm="1">
        <f t="array" aca="1" ref="D103" ca="1">IF(AND(T103=1,T105=1),INDIRECT("G"&amp;T104),"")</f>
        <v/>
      </c>
      <c r="E103" s="1255"/>
      <c r="F103" s="1255"/>
      <c r="G103" s="1255"/>
      <c r="H103" s="1255"/>
      <c r="I103" s="1255"/>
      <c r="J103" s="1255"/>
      <c r="K103" s="1255"/>
      <c r="L103" s="1255"/>
      <c r="M103" s="1255"/>
      <c r="N103" s="1255"/>
      <c r="O103" s="1255"/>
      <c r="P103" s="60"/>
      <c r="Q103" s="17"/>
      <c r="R103" s="927">
        <f ca="1">IF(T105=1,1,0)</f>
        <v>0</v>
      </c>
      <c r="S103" s="908" t="s">
        <v>2003</v>
      </c>
      <c r="T103" s="907">
        <f>IF(AND($T$3=1,RIGHT(S102,2)*1&lt;=$T$4),1,0)</f>
        <v>0</v>
      </c>
      <c r="U103" s="777"/>
      <c r="V103" s="300"/>
      <c r="W103" s="300"/>
      <c r="X103" s="300"/>
      <c r="Y103" s="300"/>
      <c r="Z103" s="300"/>
    </row>
    <row r="104" spans="2:26" ht="15" hidden="1" customHeight="1" x14ac:dyDescent="0.25">
      <c r="B104" s="17"/>
      <c r="C104" s="949"/>
      <c r="D104" s="1255"/>
      <c r="E104" s="1255"/>
      <c r="F104" s="1255"/>
      <c r="G104" s="1255"/>
      <c r="H104" s="1255"/>
      <c r="I104" s="1255"/>
      <c r="J104" s="1255"/>
      <c r="K104" s="1255"/>
      <c r="L104" s="1255"/>
      <c r="M104" s="1255"/>
      <c r="N104" s="1255"/>
      <c r="O104" s="1255"/>
      <c r="P104" s="60"/>
      <c r="Q104" s="17"/>
      <c r="R104" s="927">
        <f ca="1">IF(T105=1,1,0)</f>
        <v>0</v>
      </c>
      <c r="S104" s="908" t="s">
        <v>2006</v>
      </c>
      <c r="T104" s="907" t="str">
        <f>IF(T103=1,RIGHT(LEFT($T$11,RIGHT(S102,2)*3),3)*1,"-")</f>
        <v>-</v>
      </c>
      <c r="U104" s="777"/>
      <c r="V104" s="300"/>
      <c r="W104" s="300"/>
      <c r="X104" s="300"/>
      <c r="Y104" s="300"/>
      <c r="Z104" s="300"/>
    </row>
    <row r="105" spans="2:26" ht="15" hidden="1" customHeight="1" x14ac:dyDescent="0.25">
      <c r="B105" s="17"/>
      <c r="C105" s="949"/>
      <c r="D105" s="1255"/>
      <c r="E105" s="1255"/>
      <c r="F105" s="1255"/>
      <c r="G105" s="1255"/>
      <c r="H105" s="1255"/>
      <c r="I105" s="1255"/>
      <c r="J105" s="1255"/>
      <c r="K105" s="1255"/>
      <c r="L105" s="1255"/>
      <c r="M105" s="1255"/>
      <c r="N105" s="1255"/>
      <c r="O105" s="1255"/>
      <c r="P105" s="60"/>
      <c r="Q105" s="17"/>
      <c r="R105" s="927">
        <f ca="1">IF(T105=1,1,0)</f>
        <v>0</v>
      </c>
      <c r="S105" s="908" t="s">
        <v>2008</v>
      </c>
      <c r="T105" s="907" cm="1">
        <f t="array" aca="1" ref="T105" ca="1">IF(AND($T$3=1,T103=1),IF(OR(ISBLANK(INDIRECT("G"&amp;T104)),TRIM(INDIRECT("G"&amp;T104))=""),0,1),0)</f>
        <v>0</v>
      </c>
      <c r="U105" s="777"/>
      <c r="V105" s="300"/>
      <c r="W105" s="300"/>
      <c r="X105" s="300"/>
      <c r="Y105" s="300"/>
      <c r="Z105" s="300"/>
    </row>
    <row r="106" spans="2:26" ht="15" hidden="1" customHeight="1" x14ac:dyDescent="0.25">
      <c r="B106" s="17"/>
      <c r="C106" s="949"/>
      <c r="D106" s="17"/>
      <c r="E106" s="17"/>
      <c r="F106" s="17"/>
      <c r="G106" s="17"/>
      <c r="H106" s="17"/>
      <c r="I106" s="17"/>
      <c r="J106" s="17"/>
      <c r="K106" s="17"/>
      <c r="L106" s="17"/>
      <c r="M106" s="17"/>
      <c r="N106" s="17"/>
      <c r="O106" s="17"/>
      <c r="P106" s="60"/>
      <c r="Q106" s="17"/>
      <c r="R106" s="927">
        <f>IF(T103=1,1,0)</f>
        <v>0</v>
      </c>
      <c r="S106" s="908" t="s">
        <v>2009</v>
      </c>
      <c r="T106" s="907" cm="1">
        <f t="array" aca="1" ref="T106" ca="1">IF(AND(T103=1,SUBSTITUTE($T$12,"|"&amp;N102&amp;"|","####")&lt;&gt;$T$12),INDIRECT("M"&amp;T104),0)</f>
        <v>0</v>
      </c>
      <c r="U106" s="777"/>
      <c r="V106" s="300"/>
      <c r="W106" s="300"/>
      <c r="X106" s="300"/>
      <c r="Y106" s="300"/>
      <c r="Z106" s="300"/>
    </row>
    <row r="107" spans="2:26" ht="15" hidden="1" customHeight="1" x14ac:dyDescent="0.25">
      <c r="B107" s="17"/>
      <c r="C107" s="949"/>
      <c r="D107" s="17"/>
      <c r="E107" s="17"/>
      <c r="F107" s="17"/>
      <c r="G107" s="17"/>
      <c r="H107" s="17"/>
      <c r="I107" s="17"/>
      <c r="J107" s="17"/>
      <c r="K107" s="17"/>
      <c r="L107" s="17"/>
      <c r="M107" s="17"/>
      <c r="N107" s="17"/>
      <c r="O107" s="17"/>
      <c r="P107" s="60"/>
      <c r="Q107" s="17"/>
      <c r="R107" s="928">
        <f ca="1">IF($S$134=2,IF(T107=T113,0,1),0)</f>
        <v>0</v>
      </c>
      <c r="S107" s="296" t="s">
        <v>2121</v>
      </c>
      <c r="T107" s="235" t="str">
        <f ca="1">IF($S$134=2,IF(SUM(R3:R64,R66:R70,R72:R76,R78:R82,R84:R88,R90:R94,R96:R100,R102:R106)&lt;$S$128,"↑ PAGINA 1","↓ PAGINA 2"),"n.v.t.")</f>
        <v>n.v.t.</v>
      </c>
      <c r="U107" s="777"/>
      <c r="V107" s="300"/>
      <c r="W107" s="300"/>
      <c r="X107" s="300"/>
      <c r="Y107" s="300"/>
      <c r="Z107" s="300"/>
    </row>
    <row r="108" spans="2:26" ht="15" hidden="1" customHeight="1" x14ac:dyDescent="0.25">
      <c r="B108" s="17"/>
      <c r="C108" s="949"/>
      <c r="D108" s="863" t="str" cm="1">
        <f t="array" aca="1" ref="D108" ca="1">IF(T109=1,INDIRECT("E"&amp;T110),"")</f>
        <v/>
      </c>
      <c r="E108" s="361"/>
      <c r="F108" s="361"/>
      <c r="G108" s="361"/>
      <c r="H108" s="361"/>
      <c r="I108" s="361"/>
      <c r="J108" s="361"/>
      <c r="K108" s="361"/>
      <c r="L108" s="361"/>
      <c r="M108" s="391" t="str">
        <f ca="1">Taal04!$B$264&amp;":"</f>
        <v>team selecteren:</v>
      </c>
      <c r="N108" s="903" t="s">
        <v>64</v>
      </c>
      <c r="O108" s="218" t="s">
        <v>848</v>
      </c>
      <c r="P108" s="60"/>
      <c r="Q108" s="17"/>
      <c r="R108" s="927">
        <f>IF(T109=1,1,0)</f>
        <v>0</v>
      </c>
      <c r="S108" s="909" t="str">
        <f>"Team "&amp;RIGHT("00"&amp;RIGHT(S102,2)*1+1,2)</f>
        <v>Team 18</v>
      </c>
      <c r="T108" s="910" t="str" cm="1">
        <f t="array" aca="1" ref="T108" ca="1">IF(AND($T$3=1,T109=1),INDIRECT("B"&amp;T110),"-")</f>
        <v>-</v>
      </c>
      <c r="U108" s="777"/>
      <c r="V108" s="300"/>
      <c r="W108" s="300"/>
      <c r="X108" s="300"/>
      <c r="Y108" s="300"/>
      <c r="Z108" s="300"/>
    </row>
    <row r="109" spans="2:26" ht="15" hidden="1" customHeight="1" x14ac:dyDescent="0.25">
      <c r="B109" s="17"/>
      <c r="C109" s="949"/>
      <c r="D109" s="1255" t="str" cm="1">
        <f t="array" aca="1" ref="D109" ca="1">IF(AND(T109=1,T111=1),INDIRECT("G"&amp;T110),"")</f>
        <v/>
      </c>
      <c r="E109" s="1255"/>
      <c r="F109" s="1255"/>
      <c r="G109" s="1255"/>
      <c r="H109" s="1255"/>
      <c r="I109" s="1255"/>
      <c r="J109" s="1255"/>
      <c r="K109" s="1255"/>
      <c r="L109" s="1255"/>
      <c r="M109" s="1255"/>
      <c r="N109" s="1255"/>
      <c r="O109" s="1255"/>
      <c r="P109" s="60"/>
      <c r="Q109" s="17"/>
      <c r="R109" s="927">
        <f ca="1">IF(T111=1,1,0)</f>
        <v>0</v>
      </c>
      <c r="S109" s="911" t="s">
        <v>2003</v>
      </c>
      <c r="T109" s="910">
        <f>IF(AND($T$3=1,RIGHT(S108,2)*1&lt;=$T$4),1,0)</f>
        <v>0</v>
      </c>
      <c r="U109" s="777"/>
      <c r="V109" s="300"/>
      <c r="W109" s="300"/>
      <c r="X109" s="300"/>
      <c r="Y109" s="300"/>
      <c r="Z109" s="300"/>
    </row>
    <row r="110" spans="2:26" ht="15" hidden="1" customHeight="1" x14ac:dyDescent="0.25">
      <c r="B110" s="17"/>
      <c r="C110" s="949"/>
      <c r="D110" s="1255"/>
      <c r="E110" s="1255"/>
      <c r="F110" s="1255"/>
      <c r="G110" s="1255"/>
      <c r="H110" s="1255"/>
      <c r="I110" s="1255"/>
      <c r="J110" s="1255"/>
      <c r="K110" s="1255"/>
      <c r="L110" s="1255"/>
      <c r="M110" s="1255"/>
      <c r="N110" s="1255"/>
      <c r="O110" s="1255"/>
      <c r="P110" s="60"/>
      <c r="Q110" s="17"/>
      <c r="R110" s="927">
        <f ca="1">IF(T111=1,1,0)</f>
        <v>0</v>
      </c>
      <c r="S110" s="911" t="s">
        <v>2006</v>
      </c>
      <c r="T110" s="910" t="str">
        <f>IF(T109=1,RIGHT(LEFT($T$11,RIGHT(S108,2)*3),3)*1,"-")</f>
        <v>-</v>
      </c>
      <c r="U110" s="777"/>
      <c r="V110" s="300"/>
      <c r="W110" s="300"/>
      <c r="X110" s="300"/>
      <c r="Y110" s="300"/>
      <c r="Z110" s="300"/>
    </row>
    <row r="111" spans="2:26" ht="15" hidden="1" customHeight="1" x14ac:dyDescent="0.25">
      <c r="B111" s="17"/>
      <c r="C111" s="949"/>
      <c r="D111" s="1255"/>
      <c r="E111" s="1255"/>
      <c r="F111" s="1255"/>
      <c r="G111" s="1255"/>
      <c r="H111" s="1255"/>
      <c r="I111" s="1255"/>
      <c r="J111" s="1255"/>
      <c r="K111" s="1255"/>
      <c r="L111" s="1255"/>
      <c r="M111" s="1255"/>
      <c r="N111" s="1255"/>
      <c r="O111" s="1255"/>
      <c r="P111" s="60"/>
      <c r="Q111" s="17"/>
      <c r="R111" s="927">
        <f ca="1">IF(T111=1,1,0)</f>
        <v>0</v>
      </c>
      <c r="S111" s="911" t="s">
        <v>2008</v>
      </c>
      <c r="T111" s="910" cm="1">
        <f t="array" aca="1" ref="T111" ca="1">IF(AND($T$3=1,T109=1),IF(OR(ISBLANK(INDIRECT("G"&amp;T110)),TRIM(INDIRECT("G"&amp;T110))=""),0,1),0)</f>
        <v>0</v>
      </c>
      <c r="U111" s="777"/>
      <c r="V111" s="300"/>
      <c r="W111" s="300"/>
      <c r="X111" s="300"/>
      <c r="Y111" s="300"/>
      <c r="Z111" s="300"/>
    </row>
    <row r="112" spans="2:26" ht="15" hidden="1" customHeight="1" x14ac:dyDescent="0.25">
      <c r="B112" s="17"/>
      <c r="C112" s="949"/>
      <c r="D112" s="17"/>
      <c r="E112" s="17"/>
      <c r="F112" s="17"/>
      <c r="G112" s="17"/>
      <c r="H112" s="17"/>
      <c r="I112" s="17"/>
      <c r="J112" s="17"/>
      <c r="K112" s="17"/>
      <c r="L112" s="17"/>
      <c r="M112" s="17"/>
      <c r="N112" s="17"/>
      <c r="O112" s="17"/>
      <c r="P112" s="60"/>
      <c r="Q112" s="17"/>
      <c r="R112" s="927">
        <f>IF(T109=1,1,0)</f>
        <v>0</v>
      </c>
      <c r="S112" s="911" t="s">
        <v>2009</v>
      </c>
      <c r="T112" s="910" cm="1">
        <f t="array" aca="1" ref="T112" ca="1">IF(AND(T109=1,SUBSTITUTE($T$12,"|"&amp;N108&amp;"|","####")&lt;&gt;$T$12),INDIRECT("M"&amp;T110),0)</f>
        <v>0</v>
      </c>
      <c r="U112" s="777"/>
      <c r="V112" s="300"/>
      <c r="W112" s="300"/>
      <c r="X112" s="300"/>
      <c r="Y112" s="300"/>
      <c r="Z112" s="300"/>
    </row>
    <row r="113" spans="2:26" ht="15" hidden="1" customHeight="1" x14ac:dyDescent="0.25">
      <c r="B113" s="17"/>
      <c r="C113" s="949"/>
      <c r="D113" s="17"/>
      <c r="E113" s="17"/>
      <c r="F113" s="17"/>
      <c r="G113" s="17"/>
      <c r="H113" s="17"/>
      <c r="I113" s="17"/>
      <c r="J113" s="17"/>
      <c r="K113" s="17"/>
      <c r="L113" s="17"/>
      <c r="M113" s="17"/>
      <c r="N113" s="17"/>
      <c r="O113" s="17"/>
      <c r="P113" s="60"/>
      <c r="Q113" s="17"/>
      <c r="R113" s="928">
        <f ca="1">IF($S$134=2,IF(T113=T119,0,1),0)</f>
        <v>0</v>
      </c>
      <c r="S113" s="296" t="s">
        <v>2121</v>
      </c>
      <c r="T113" s="235" t="str">
        <f ca="1">IF($S$134=2,IF(SUM(R3:R64,R66:R70,R72:R76,R78:R82,R84:R88,R90:R94,R96:R100,R102:R106,R108:R112)&lt;$S$128,"↑ PAGINA 1","↓ PAGINA 2"),"n.v.t.")</f>
        <v>n.v.t.</v>
      </c>
      <c r="U113" s="777"/>
      <c r="V113" s="300"/>
      <c r="W113" s="300"/>
      <c r="X113" s="300"/>
      <c r="Y113" s="300"/>
      <c r="Z113" s="300"/>
    </row>
    <row r="114" spans="2:26" ht="15" hidden="1" customHeight="1" x14ac:dyDescent="0.25">
      <c r="B114" s="17"/>
      <c r="C114" s="949"/>
      <c r="D114" s="863" t="str" cm="1">
        <f t="array" aca="1" ref="D114" ca="1">IF(T115=1,INDIRECT("E"&amp;T116),"")</f>
        <v/>
      </c>
      <c r="E114" s="361"/>
      <c r="F114" s="361"/>
      <c r="G114" s="361"/>
      <c r="H114" s="361"/>
      <c r="I114" s="361"/>
      <c r="J114" s="361"/>
      <c r="K114" s="361"/>
      <c r="L114" s="361"/>
      <c r="M114" s="391" t="str">
        <f ca="1">Taal04!$B$264&amp;":"</f>
        <v>team selecteren:</v>
      </c>
      <c r="N114" s="903" t="s">
        <v>64</v>
      </c>
      <c r="O114" s="218" t="s">
        <v>848</v>
      </c>
      <c r="P114" s="60"/>
      <c r="Q114" s="17"/>
      <c r="R114" s="927">
        <f>IF(T115=1,1,0)</f>
        <v>0</v>
      </c>
      <c r="S114" s="912" t="str">
        <f>"Team "&amp;RIGHT("00"&amp;RIGHT(S108,2)*1+1,2)</f>
        <v>Team 19</v>
      </c>
      <c r="T114" s="913" t="str" cm="1">
        <f t="array" aca="1" ref="T114" ca="1">IF(AND($T$3=1,T115=1),INDIRECT("B"&amp;T116),"-")</f>
        <v>-</v>
      </c>
      <c r="U114" s="777"/>
      <c r="V114" s="300"/>
      <c r="W114" s="300"/>
      <c r="X114" s="300"/>
      <c r="Y114" s="300"/>
      <c r="Z114" s="300"/>
    </row>
    <row r="115" spans="2:26" ht="15" hidden="1" customHeight="1" x14ac:dyDescent="0.25">
      <c r="B115" s="17"/>
      <c r="C115" s="949"/>
      <c r="D115" s="1255" t="str" cm="1">
        <f t="array" aca="1" ref="D115" ca="1">IF(AND(T115=1,T117=1),INDIRECT("G"&amp;T116),"")</f>
        <v/>
      </c>
      <c r="E115" s="1255"/>
      <c r="F115" s="1255"/>
      <c r="G115" s="1255"/>
      <c r="H115" s="1255"/>
      <c r="I115" s="1255"/>
      <c r="J115" s="1255"/>
      <c r="K115" s="1255"/>
      <c r="L115" s="1255"/>
      <c r="M115" s="1255"/>
      <c r="N115" s="1255"/>
      <c r="O115" s="1255"/>
      <c r="P115" s="60"/>
      <c r="Q115" s="17"/>
      <c r="R115" s="927">
        <f ca="1">IF(T117=1,1,0)</f>
        <v>0</v>
      </c>
      <c r="S115" s="914" t="s">
        <v>2003</v>
      </c>
      <c r="T115" s="913">
        <f>IF(AND($T$3=1,RIGHT(S114,2)*1&lt;=$T$4),1,0)</f>
        <v>0</v>
      </c>
      <c r="U115" s="777"/>
      <c r="V115" s="300"/>
      <c r="W115" s="300"/>
      <c r="X115" s="300"/>
      <c r="Y115" s="300"/>
      <c r="Z115" s="300"/>
    </row>
    <row r="116" spans="2:26" ht="15" hidden="1" customHeight="1" x14ac:dyDescent="0.25">
      <c r="B116" s="17"/>
      <c r="C116" s="949"/>
      <c r="D116" s="1255"/>
      <c r="E116" s="1255"/>
      <c r="F116" s="1255"/>
      <c r="G116" s="1255"/>
      <c r="H116" s="1255"/>
      <c r="I116" s="1255"/>
      <c r="J116" s="1255"/>
      <c r="K116" s="1255"/>
      <c r="L116" s="1255"/>
      <c r="M116" s="1255"/>
      <c r="N116" s="1255"/>
      <c r="O116" s="1255"/>
      <c r="P116" s="60"/>
      <c r="Q116" s="17"/>
      <c r="R116" s="927">
        <f ca="1">IF(T117=1,1,0)</f>
        <v>0</v>
      </c>
      <c r="S116" s="914" t="s">
        <v>2006</v>
      </c>
      <c r="T116" s="913" t="str">
        <f>IF(T115=1,RIGHT(LEFT($T$11,RIGHT(S114,2)*3),3)*1,"-")</f>
        <v>-</v>
      </c>
      <c r="U116" s="777"/>
      <c r="V116" s="300"/>
      <c r="W116" s="300"/>
      <c r="X116" s="300"/>
      <c r="Y116" s="300"/>
      <c r="Z116" s="300"/>
    </row>
    <row r="117" spans="2:26" ht="15" hidden="1" customHeight="1" x14ac:dyDescent="0.25">
      <c r="B117" s="17"/>
      <c r="C117" s="949"/>
      <c r="D117" s="1255"/>
      <c r="E117" s="1255"/>
      <c r="F117" s="1255"/>
      <c r="G117" s="1255"/>
      <c r="H117" s="1255"/>
      <c r="I117" s="1255"/>
      <c r="J117" s="1255"/>
      <c r="K117" s="1255"/>
      <c r="L117" s="1255"/>
      <c r="M117" s="1255"/>
      <c r="N117" s="1255"/>
      <c r="O117" s="1255"/>
      <c r="P117" s="60"/>
      <c r="Q117" s="17"/>
      <c r="R117" s="927">
        <f ca="1">IF(T117=1,1,0)</f>
        <v>0</v>
      </c>
      <c r="S117" s="914" t="s">
        <v>2008</v>
      </c>
      <c r="T117" s="913" cm="1">
        <f t="array" aca="1" ref="T117" ca="1">IF(AND($T$3=1,T115=1),IF(OR(ISBLANK(INDIRECT("G"&amp;T116)),TRIM(INDIRECT("G"&amp;T116))=""),0,1),0)</f>
        <v>0</v>
      </c>
      <c r="U117" s="777"/>
      <c r="V117" s="300"/>
      <c r="W117" s="300"/>
      <c r="X117" s="300"/>
      <c r="Y117" s="300"/>
      <c r="Z117" s="300"/>
    </row>
    <row r="118" spans="2:26" ht="15" hidden="1" customHeight="1" x14ac:dyDescent="0.25">
      <c r="B118" s="17"/>
      <c r="C118" s="949"/>
      <c r="D118" s="17"/>
      <c r="E118" s="17"/>
      <c r="F118" s="17"/>
      <c r="G118" s="17"/>
      <c r="H118" s="17"/>
      <c r="I118" s="17"/>
      <c r="J118" s="17"/>
      <c r="K118" s="17"/>
      <c r="L118" s="17"/>
      <c r="M118" s="17"/>
      <c r="N118" s="17"/>
      <c r="O118" s="17"/>
      <c r="P118" s="60"/>
      <c r="Q118" s="17"/>
      <c r="R118" s="927">
        <f>IF(T115=1,1,0)</f>
        <v>0</v>
      </c>
      <c r="S118" s="914" t="s">
        <v>2009</v>
      </c>
      <c r="T118" s="913" cm="1">
        <f t="array" aca="1" ref="T118" ca="1">IF(AND(T115=1,SUBSTITUTE($T$12,"|"&amp;N114&amp;"|","####")&lt;&gt;$T$12),INDIRECT("M"&amp;T116),0)</f>
        <v>0</v>
      </c>
      <c r="U118" s="777"/>
      <c r="V118" s="300"/>
      <c r="W118" s="300"/>
      <c r="X118" s="300"/>
      <c r="Y118" s="300"/>
      <c r="Z118" s="300"/>
    </row>
    <row r="119" spans="2:26" ht="15" hidden="1" customHeight="1" x14ac:dyDescent="0.25">
      <c r="B119" s="17"/>
      <c r="C119" s="949"/>
      <c r="D119" s="17"/>
      <c r="E119" s="17"/>
      <c r="F119" s="17"/>
      <c r="G119" s="17"/>
      <c r="H119" s="17"/>
      <c r="I119" s="17"/>
      <c r="J119" s="17"/>
      <c r="K119" s="17"/>
      <c r="L119" s="17"/>
      <c r="M119" s="17"/>
      <c r="N119" s="17"/>
      <c r="O119" s="17"/>
      <c r="P119" s="60"/>
      <c r="Q119" s="17"/>
      <c r="R119" s="928">
        <f ca="1">IF($S$134=2,IF(T119=T125,0,1),0)</f>
        <v>0</v>
      </c>
      <c r="S119" s="296" t="s">
        <v>2121</v>
      </c>
      <c r="T119" s="235" t="str">
        <f ca="1">IF($S$134=2,IF(SUM(R3:R64,R66:R70,R72:R76,R78:R82,R84:R88,R90:R94,R96:R100,R102:R106,R108:R112,R114:R118)&lt;$S$128,"↑ PAGINA 1","↓ PAGINA 2"),"n.v.t.")</f>
        <v>n.v.t.</v>
      </c>
      <c r="U119" s="777"/>
      <c r="V119" s="300"/>
      <c r="W119" s="300"/>
      <c r="X119" s="300"/>
      <c r="Y119" s="300"/>
      <c r="Z119" s="300"/>
    </row>
    <row r="120" spans="2:26" ht="15" hidden="1" customHeight="1" x14ac:dyDescent="0.25">
      <c r="B120" s="17"/>
      <c r="C120" s="949"/>
      <c r="D120" s="863" t="str" cm="1">
        <f t="array" aca="1" ref="D120" ca="1">IF(T121=1,INDIRECT("E"&amp;T122),"")</f>
        <v/>
      </c>
      <c r="E120" s="361"/>
      <c r="F120" s="361"/>
      <c r="G120" s="361"/>
      <c r="H120" s="361"/>
      <c r="I120" s="361"/>
      <c r="J120" s="361"/>
      <c r="K120" s="361"/>
      <c r="L120" s="361"/>
      <c r="M120" s="391" t="str">
        <f ca="1">Taal04!$B$264&amp;":"</f>
        <v>team selecteren:</v>
      </c>
      <c r="N120" s="903" t="s">
        <v>64</v>
      </c>
      <c r="O120" s="218" t="s">
        <v>848</v>
      </c>
      <c r="P120" s="60"/>
      <c r="Q120" s="17"/>
      <c r="R120" s="927">
        <f>IF(T121=1,1,0)</f>
        <v>0</v>
      </c>
      <c r="S120" s="915" t="str">
        <f>"Team "&amp;RIGHT("00"&amp;RIGHT(S114,2)*1+1,2)</f>
        <v>Team 20</v>
      </c>
      <c r="T120" s="916" t="str" cm="1">
        <f t="array" aca="1" ref="T120" ca="1">IF(AND($T$3=1,T121=1),INDIRECT("B"&amp;T122),"-")</f>
        <v>-</v>
      </c>
      <c r="U120" s="777"/>
      <c r="V120" s="300"/>
      <c r="W120" s="300"/>
      <c r="X120" s="300"/>
      <c r="Y120" s="300"/>
      <c r="Z120" s="300"/>
    </row>
    <row r="121" spans="2:26" ht="15" hidden="1" customHeight="1" x14ac:dyDescent="0.25">
      <c r="B121" s="17"/>
      <c r="C121" s="949"/>
      <c r="D121" s="1255" t="str" cm="1">
        <f t="array" aca="1" ref="D121" ca="1">IF(AND(T121=1,T123=1),INDIRECT("G"&amp;T122),"")</f>
        <v/>
      </c>
      <c r="E121" s="1255"/>
      <c r="F121" s="1255"/>
      <c r="G121" s="1255"/>
      <c r="H121" s="1255"/>
      <c r="I121" s="1255"/>
      <c r="J121" s="1255"/>
      <c r="K121" s="1255"/>
      <c r="L121" s="1255"/>
      <c r="M121" s="1255"/>
      <c r="N121" s="1255"/>
      <c r="O121" s="1255"/>
      <c r="P121" s="60"/>
      <c r="Q121" s="17"/>
      <c r="R121" s="927">
        <f ca="1">IF(T123=1,1,0)</f>
        <v>0</v>
      </c>
      <c r="S121" s="917" t="s">
        <v>2003</v>
      </c>
      <c r="T121" s="916">
        <f>IF(AND($T$3=1,RIGHT(S120,2)*1&lt;=$T$4),1,0)</f>
        <v>0</v>
      </c>
      <c r="U121" s="777"/>
      <c r="V121" s="300"/>
      <c r="W121" s="300"/>
      <c r="X121" s="300"/>
      <c r="Y121" s="300"/>
      <c r="Z121" s="300"/>
    </row>
    <row r="122" spans="2:26" ht="15" hidden="1" customHeight="1" x14ac:dyDescent="0.25">
      <c r="B122" s="17"/>
      <c r="C122" s="949"/>
      <c r="D122" s="1255"/>
      <c r="E122" s="1255"/>
      <c r="F122" s="1255"/>
      <c r="G122" s="1255"/>
      <c r="H122" s="1255"/>
      <c r="I122" s="1255"/>
      <c r="J122" s="1255"/>
      <c r="K122" s="1255"/>
      <c r="L122" s="1255"/>
      <c r="M122" s="1255"/>
      <c r="N122" s="1255"/>
      <c r="O122" s="1255"/>
      <c r="P122" s="60"/>
      <c r="Q122" s="17"/>
      <c r="R122" s="927">
        <f ca="1">IF(T123=1,1,0)</f>
        <v>0</v>
      </c>
      <c r="S122" s="917" t="s">
        <v>2006</v>
      </c>
      <c r="T122" s="916" t="str">
        <f>IF(T121=1,RIGHT(LEFT($T$11,RIGHT(S120,2)*3),3)*1,"-")</f>
        <v>-</v>
      </c>
      <c r="U122" s="777"/>
      <c r="V122" s="300"/>
      <c r="W122" s="300"/>
      <c r="X122" s="300"/>
      <c r="Y122" s="300"/>
      <c r="Z122" s="300"/>
    </row>
    <row r="123" spans="2:26" ht="15" hidden="1" customHeight="1" x14ac:dyDescent="0.25">
      <c r="B123" s="17"/>
      <c r="C123" s="949"/>
      <c r="D123" s="1255"/>
      <c r="E123" s="1255"/>
      <c r="F123" s="1255"/>
      <c r="G123" s="1255"/>
      <c r="H123" s="1255"/>
      <c r="I123" s="1255"/>
      <c r="J123" s="1255"/>
      <c r="K123" s="1255"/>
      <c r="L123" s="1255"/>
      <c r="M123" s="1255"/>
      <c r="N123" s="1255"/>
      <c r="O123" s="1255"/>
      <c r="P123" s="60"/>
      <c r="Q123" s="17"/>
      <c r="R123" s="927">
        <f ca="1">IF(T123=1,1,0)</f>
        <v>0</v>
      </c>
      <c r="S123" s="917" t="s">
        <v>2008</v>
      </c>
      <c r="T123" s="916" cm="1">
        <f t="array" aca="1" ref="T123" ca="1">IF(AND($T$3=1,T121=1),IF(OR(ISBLANK(INDIRECT("G"&amp;T122)),TRIM(INDIRECT("G"&amp;T122))=""),0,1),0)</f>
        <v>0</v>
      </c>
      <c r="U123" s="777"/>
      <c r="V123" s="300"/>
      <c r="W123" s="300"/>
      <c r="X123" s="300"/>
      <c r="Y123" s="300"/>
      <c r="Z123" s="300"/>
    </row>
    <row r="124" spans="2:26" ht="15" hidden="1" customHeight="1" x14ac:dyDescent="0.25">
      <c r="B124" s="17"/>
      <c r="C124" s="949"/>
      <c r="D124" s="17"/>
      <c r="E124" s="17"/>
      <c r="F124" s="17"/>
      <c r="G124" s="17"/>
      <c r="H124" s="17"/>
      <c r="I124" s="17"/>
      <c r="J124" s="17"/>
      <c r="K124" s="17"/>
      <c r="L124" s="17"/>
      <c r="M124" s="17"/>
      <c r="N124" s="17"/>
      <c r="O124" s="17"/>
      <c r="P124" s="60"/>
      <c r="Q124" s="17"/>
      <c r="R124" s="927">
        <f>IF(T121=1,1,0)</f>
        <v>0</v>
      </c>
      <c r="S124" s="917" t="s">
        <v>2009</v>
      </c>
      <c r="T124" s="916" cm="1">
        <f t="array" aca="1" ref="T124" ca="1">IF(AND(T121=1,SUBSTITUTE($T$12,"|"&amp;N120&amp;"|","####")&lt;&gt;$T$12),INDIRECT("M"&amp;T122),0)</f>
        <v>0</v>
      </c>
      <c r="U124" s="777"/>
      <c r="V124" s="300"/>
      <c r="W124" s="300"/>
      <c r="X124" s="300"/>
      <c r="Y124" s="300"/>
      <c r="Z124" s="300"/>
    </row>
    <row r="125" spans="2:26" ht="15" hidden="1" customHeight="1" x14ac:dyDescent="0.25">
      <c r="B125" s="17"/>
      <c r="C125" s="949"/>
      <c r="D125" s="17"/>
      <c r="E125" s="17"/>
      <c r="F125" s="17"/>
      <c r="G125" s="17"/>
      <c r="H125" s="17"/>
      <c r="I125" s="17"/>
      <c r="J125" s="17"/>
      <c r="K125" s="17"/>
      <c r="L125" s="17"/>
      <c r="M125" s="17"/>
      <c r="N125" s="17"/>
      <c r="O125" s="17"/>
      <c r="P125" s="60"/>
      <c r="Q125" s="17"/>
      <c r="R125" s="927">
        <v>0</v>
      </c>
      <c r="S125" s="296" t="s">
        <v>2121</v>
      </c>
      <c r="T125" s="235" t="str">
        <f ca="1">IF($S$134=2,IF(SUM(R3:R64,R66:R70,R72:R76,R78:R82,R84:R88,R90:R94,R96:R100,R102:R106,R108:R112,R114:R118,R120:R124)&lt;$S$128,"↑ PAGINA 1","↓ PAGINA 2"),"n.v.t.")</f>
        <v>n.v.t.</v>
      </c>
      <c r="U125" s="777"/>
      <c r="V125" s="300"/>
      <c r="W125" s="300"/>
      <c r="X125" s="300"/>
      <c r="Y125" s="300"/>
      <c r="Z125" s="300"/>
    </row>
    <row r="126" spans="2:26" ht="15" customHeight="1" x14ac:dyDescent="0.25">
      <c r="B126" s="17"/>
      <c r="C126" s="949"/>
      <c r="D126" s="17"/>
      <c r="E126" s="17"/>
      <c r="F126" s="17"/>
      <c r="G126" s="17"/>
      <c r="H126" s="17"/>
      <c r="I126" s="17"/>
      <c r="J126" s="17"/>
      <c r="K126" s="17"/>
      <c r="L126" s="17"/>
      <c r="M126" s="17"/>
      <c r="N126" s="17"/>
      <c r="O126" s="17"/>
      <c r="P126" s="60"/>
      <c r="Q126" s="17"/>
      <c r="R126" s="928">
        <f ca="1">IF($S$146&gt;0,1,0)</f>
        <v>1</v>
      </c>
      <c r="S126" s="921"/>
      <c r="T126" s="921"/>
      <c r="U126" s="777"/>
      <c r="V126" s="300"/>
      <c r="W126" s="300"/>
      <c r="X126" s="300"/>
      <c r="Y126" s="300"/>
      <c r="Z126" s="300"/>
    </row>
    <row r="127" spans="2:26" ht="15" customHeight="1" x14ac:dyDescent="0.25">
      <c r="B127" s="17"/>
      <c r="C127" s="949"/>
      <c r="D127" s="17"/>
      <c r="E127" s="17"/>
      <c r="F127" s="17"/>
      <c r="G127" s="17"/>
      <c r="H127" s="17"/>
      <c r="I127" s="17"/>
      <c r="J127" s="17"/>
      <c r="K127" s="17"/>
      <c r="L127" s="17"/>
      <c r="M127" s="17"/>
      <c r="N127" s="17"/>
      <c r="O127" s="17"/>
      <c r="P127" s="60"/>
      <c r="Q127" s="17"/>
      <c r="R127" s="927">
        <f ca="1">IF(COUNTIF($R$126:$R126,1)&lt;$S$146,1,0)</f>
        <v>1</v>
      </c>
      <c r="S127" s="1253" t="s">
        <v>2122</v>
      </c>
      <c r="T127" s="1253"/>
      <c r="U127" s="777"/>
      <c r="V127" s="300"/>
      <c r="Y127" s="300"/>
      <c r="Z127" s="300"/>
    </row>
    <row r="128" spans="2:26" ht="15" customHeight="1" x14ac:dyDescent="0.25">
      <c r="B128" s="17"/>
      <c r="C128" s="949"/>
      <c r="D128" s="17"/>
      <c r="E128" s="17"/>
      <c r="F128" s="17"/>
      <c r="G128" s="17"/>
      <c r="H128" s="17"/>
      <c r="I128" s="17"/>
      <c r="J128" s="17"/>
      <c r="K128" s="17"/>
      <c r="L128" s="17"/>
      <c r="M128" s="17"/>
      <c r="N128" s="17"/>
      <c r="O128" s="17"/>
      <c r="P128" s="60"/>
      <c r="Q128" s="17"/>
      <c r="R128" s="927">
        <f ca="1">IF(COUNTIF($R$126:$R127,1)&lt;$S$146,1,0)</f>
        <v>1</v>
      </c>
      <c r="S128" s="1252">
        <v>67</v>
      </c>
      <c r="T128" s="1252"/>
      <c r="U128" s="777"/>
      <c r="V128" s="778"/>
      <c r="W128" s="778"/>
      <c r="X128" s="778"/>
      <c r="Y128" s="300"/>
      <c r="Z128" s="300"/>
    </row>
    <row r="129" spans="2:26" ht="15" customHeight="1" x14ac:dyDescent="0.25">
      <c r="B129" s="17"/>
      <c r="C129" s="949"/>
      <c r="D129" s="17"/>
      <c r="E129" s="17"/>
      <c r="F129" s="17"/>
      <c r="G129" s="17"/>
      <c r="H129" s="17"/>
      <c r="I129" s="17"/>
      <c r="J129" s="17"/>
      <c r="K129" s="17"/>
      <c r="L129" s="17"/>
      <c r="M129" s="17"/>
      <c r="N129" s="17"/>
      <c r="O129" s="17"/>
      <c r="P129" s="60"/>
      <c r="Q129" s="17"/>
      <c r="R129" s="927">
        <f ca="1">IF(COUNTIF($R$126:$R128,1)&lt;$S$146,1,0)</f>
        <v>1</v>
      </c>
      <c r="S129" s="921"/>
      <c r="T129" s="921"/>
      <c r="U129" s="777"/>
      <c r="V129" s="300"/>
      <c r="W129" s="300"/>
      <c r="X129" s="300"/>
      <c r="Y129" s="300"/>
      <c r="Z129" s="300"/>
    </row>
    <row r="130" spans="2:26" ht="15" customHeight="1" x14ac:dyDescent="0.25">
      <c r="B130" s="17"/>
      <c r="C130" s="949"/>
      <c r="D130" s="17"/>
      <c r="E130" s="17"/>
      <c r="F130" s="17"/>
      <c r="G130" s="17"/>
      <c r="H130" s="17"/>
      <c r="I130" s="17"/>
      <c r="J130" s="17"/>
      <c r="K130" s="17"/>
      <c r="L130" s="17"/>
      <c r="M130" s="17"/>
      <c r="N130" s="17"/>
      <c r="O130" s="17"/>
      <c r="P130" s="60"/>
      <c r="Q130" s="17"/>
      <c r="R130" s="927">
        <f ca="1">IF(COUNTIF($R$126:$R129,1)&lt;$S$146,1,0)</f>
        <v>1</v>
      </c>
      <c r="S130" s="1253" t="s">
        <v>2119</v>
      </c>
      <c r="T130" s="1253"/>
      <c r="U130" s="777"/>
      <c r="V130" s="300"/>
      <c r="W130" s="300"/>
      <c r="Y130" s="300"/>
      <c r="Z130" s="300"/>
    </row>
    <row r="131" spans="2:26" ht="15" customHeight="1" x14ac:dyDescent="0.25">
      <c r="B131" s="17"/>
      <c r="C131" s="949"/>
      <c r="D131" s="17"/>
      <c r="E131" s="17"/>
      <c r="F131" s="17"/>
      <c r="G131" s="17"/>
      <c r="H131" s="17"/>
      <c r="I131" s="17"/>
      <c r="J131" s="17"/>
      <c r="K131" s="17"/>
      <c r="L131" s="17"/>
      <c r="M131" s="17"/>
      <c r="N131" s="17"/>
      <c r="O131" s="17"/>
      <c r="P131" s="60"/>
      <c r="Q131" s="17"/>
      <c r="R131" s="927">
        <f ca="1">IF(COUNTIF($R$126:$R130,1)&lt;$S$146,1,0)</f>
        <v>1</v>
      </c>
      <c r="S131" s="1252">
        <f ca="1">SUM($R$3:$R$64,$R$66:$R$70,$R$72:$R$76,$R$78:$R$82,$R$84:$R$88,$R$90:$R$94,$R$96:$R$100,$R$102:$R$106,$R$108:$R$112,$R$114:$R$118,$R$120:$R$124,$R$188:$R$190)</f>
        <v>15</v>
      </c>
      <c r="T131" s="1252"/>
      <c r="U131" s="777"/>
      <c r="W131" s="300"/>
      <c r="X131" s="300"/>
      <c r="Y131" s="300"/>
      <c r="Z131" s="300"/>
    </row>
    <row r="132" spans="2:26" ht="15" customHeight="1" x14ac:dyDescent="0.25">
      <c r="B132" s="17"/>
      <c r="C132" s="949"/>
      <c r="D132" s="17"/>
      <c r="E132" s="17"/>
      <c r="F132" s="17"/>
      <c r="G132" s="17"/>
      <c r="H132" s="17"/>
      <c r="I132" s="17"/>
      <c r="J132" s="17"/>
      <c r="K132" s="17"/>
      <c r="L132" s="17"/>
      <c r="M132" s="17"/>
      <c r="N132" s="17"/>
      <c r="O132" s="17"/>
      <c r="P132" s="60"/>
      <c r="Q132" s="17"/>
      <c r="R132" s="927">
        <f ca="1">IF(COUNTIF($R$126:$R131,1)&lt;$S$146,1,0)</f>
        <v>1</v>
      </c>
      <c r="S132" s="921"/>
      <c r="T132" s="921"/>
      <c r="U132" s="777"/>
      <c r="V132" s="300"/>
      <c r="W132" s="300"/>
      <c r="Y132" s="300"/>
      <c r="Z132" s="300"/>
    </row>
    <row r="133" spans="2:26" ht="15" customHeight="1" x14ac:dyDescent="0.25">
      <c r="B133" s="17"/>
      <c r="C133" s="949"/>
      <c r="D133" s="17"/>
      <c r="E133" s="17"/>
      <c r="F133" s="17"/>
      <c r="G133" s="17"/>
      <c r="H133" s="17"/>
      <c r="I133" s="17"/>
      <c r="J133" s="17"/>
      <c r="K133" s="17"/>
      <c r="L133" s="17"/>
      <c r="M133" s="17"/>
      <c r="N133" s="17"/>
      <c r="O133" s="17"/>
      <c r="P133" s="60"/>
      <c r="Q133" s="17"/>
      <c r="R133" s="927">
        <f ca="1">IF(COUNTIF($R$126:$R132,1)&lt;$S$146,1,0)</f>
        <v>1</v>
      </c>
      <c r="S133" s="1253" t="s">
        <v>2123</v>
      </c>
      <c r="T133" s="1253"/>
      <c r="U133" s="777"/>
      <c r="V133" s="300"/>
      <c r="W133" s="300"/>
      <c r="Y133" s="300"/>
      <c r="Z133" s="300"/>
    </row>
    <row r="134" spans="2:26" ht="15" customHeight="1" x14ac:dyDescent="0.25">
      <c r="B134" s="17"/>
      <c r="C134" s="949"/>
      <c r="D134" s="17"/>
      <c r="E134" s="17"/>
      <c r="F134" s="17"/>
      <c r="G134" s="17"/>
      <c r="H134" s="17"/>
      <c r="I134" s="17"/>
      <c r="J134" s="17"/>
      <c r="K134" s="17"/>
      <c r="L134" s="17"/>
      <c r="M134" s="17"/>
      <c r="N134" s="17"/>
      <c r="O134" s="17"/>
      <c r="P134" s="60"/>
      <c r="Q134" s="17"/>
      <c r="R134" s="927">
        <f ca="1">IF(COUNTIF($R$126:$R133,1)&lt;$S$146,1,0)</f>
        <v>1</v>
      </c>
      <c r="S134" s="1252">
        <f ca="1">IF($S$131&lt;=$S$128,1,2)</f>
        <v>1</v>
      </c>
      <c r="T134" s="1252"/>
      <c r="U134" s="777"/>
      <c r="V134" s="300"/>
      <c r="W134" s="300"/>
      <c r="Y134" s="300"/>
      <c r="Z134" s="300"/>
    </row>
    <row r="135" spans="2:26" ht="15" customHeight="1" x14ac:dyDescent="0.25">
      <c r="B135" s="17"/>
      <c r="C135" s="949"/>
      <c r="D135" s="17"/>
      <c r="E135" s="17"/>
      <c r="F135" s="17"/>
      <c r="G135" s="17"/>
      <c r="H135" s="17"/>
      <c r="I135" s="17"/>
      <c r="J135" s="17"/>
      <c r="K135" s="17"/>
      <c r="L135" s="17"/>
      <c r="M135" s="17"/>
      <c r="N135" s="17"/>
      <c r="O135" s="17"/>
      <c r="P135" s="60"/>
      <c r="Q135" s="17"/>
      <c r="R135" s="927">
        <f ca="1">IF(COUNTIF($R$126:$R134,1)&lt;$S$146,1,0)</f>
        <v>1</v>
      </c>
      <c r="S135" s="921"/>
      <c r="T135" s="921"/>
      <c r="U135" s="777"/>
      <c r="V135" s="300"/>
      <c r="W135" s="300"/>
      <c r="Y135" s="300"/>
      <c r="Z135" s="300"/>
    </row>
    <row r="136" spans="2:26" ht="15" customHeight="1" x14ac:dyDescent="0.25">
      <c r="B136" s="17"/>
      <c r="C136" s="949"/>
      <c r="D136" s="17"/>
      <c r="E136" s="17"/>
      <c r="F136" s="17"/>
      <c r="G136" s="17"/>
      <c r="H136" s="17"/>
      <c r="I136" s="17"/>
      <c r="J136" s="17"/>
      <c r="K136" s="17"/>
      <c r="L136" s="17"/>
      <c r="M136" s="17"/>
      <c r="N136" s="17"/>
      <c r="O136" s="17"/>
      <c r="P136" s="60"/>
      <c r="Q136" s="17"/>
      <c r="R136" s="927">
        <f ca="1">IF(COUNTIF($R$126:$R135,1)&lt;$S$146,1,0)</f>
        <v>1</v>
      </c>
      <c r="S136" s="1253" t="s">
        <v>2124</v>
      </c>
      <c r="T136" s="1253"/>
      <c r="U136" s="777"/>
      <c r="V136" s="300"/>
      <c r="W136" s="300"/>
      <c r="Y136" s="300"/>
      <c r="Z136" s="300"/>
    </row>
    <row r="137" spans="2:26" ht="15" customHeight="1" x14ac:dyDescent="0.25">
      <c r="B137" s="17"/>
      <c r="C137" s="949"/>
      <c r="D137" s="17"/>
      <c r="E137" s="17"/>
      <c r="F137" s="17"/>
      <c r="G137" s="17"/>
      <c r="H137" s="17"/>
      <c r="I137" s="17"/>
      <c r="J137" s="17"/>
      <c r="K137" s="17"/>
      <c r="L137" s="17"/>
      <c r="M137" s="17"/>
      <c r="N137" s="17"/>
      <c r="O137" s="17"/>
      <c r="P137" s="60"/>
      <c r="Q137" s="17"/>
      <c r="R137" s="927">
        <f ca="1">IF(COUNTIF($R$126:$R136,1)&lt;$S$146,1,0)</f>
        <v>1</v>
      </c>
      <c r="S137" s="1252" t="str">
        <f ca="1">IF($S$134=2,IF($R$65=1,ROW($R$65),IF($R$71=1,ROW($R$71),IF($R$77=1,ROW($R$77),IF($R$83=1,ROW($R$83),IF($R$89=1,ROW($R$89),IF($R$95=1,ROW($R$95),IF($R$101=1,ROW($R$101),IF($R$107=1,ROW($R$107),IF($R$113=1,ROW($R$113),IF($R$119=1,ROW($R$119),"n.v.t.")))))))))),"n.v.t.")</f>
        <v>n.v.t.</v>
      </c>
      <c r="T137" s="1252"/>
      <c r="U137" s="777"/>
      <c r="V137" s="300"/>
      <c r="W137" s="300"/>
      <c r="X137" s="300"/>
      <c r="Y137" s="300"/>
      <c r="Z137" s="300"/>
    </row>
    <row r="138" spans="2:26" ht="15" customHeight="1" x14ac:dyDescent="0.25">
      <c r="B138" s="17"/>
      <c r="C138" s="949"/>
      <c r="D138" s="17"/>
      <c r="E138" s="17"/>
      <c r="F138" s="17"/>
      <c r="G138" s="17"/>
      <c r="H138" s="17"/>
      <c r="I138" s="17"/>
      <c r="J138" s="17"/>
      <c r="K138" s="17"/>
      <c r="L138" s="17"/>
      <c r="M138" s="17"/>
      <c r="N138" s="17"/>
      <c r="O138" s="17"/>
      <c r="P138" s="60"/>
      <c r="Q138" s="17"/>
      <c r="R138" s="927">
        <f ca="1">IF(COUNTIF($R$126:$R137,1)&lt;$S$146,1,0)</f>
        <v>1</v>
      </c>
      <c r="S138" s="921"/>
      <c r="T138" s="921"/>
      <c r="U138" s="777"/>
      <c r="V138" s="300"/>
      <c r="W138" s="300"/>
      <c r="X138" s="300"/>
      <c r="Y138" s="300"/>
      <c r="Z138" s="300"/>
    </row>
    <row r="139" spans="2:26" ht="15" customHeight="1" x14ac:dyDescent="0.25">
      <c r="B139" s="17"/>
      <c r="C139" s="949"/>
      <c r="D139" s="17"/>
      <c r="E139" s="17"/>
      <c r="F139" s="17"/>
      <c r="G139" s="17"/>
      <c r="H139" s="17"/>
      <c r="I139" s="17"/>
      <c r="J139" s="17"/>
      <c r="K139" s="17"/>
      <c r="L139" s="17"/>
      <c r="M139" s="17"/>
      <c r="N139" s="17"/>
      <c r="O139" s="17"/>
      <c r="P139" s="60"/>
      <c r="Q139" s="17"/>
      <c r="R139" s="927">
        <f ca="1">IF(COUNTIF($R$126:$R138,1)&lt;$S$146,1,0)</f>
        <v>1</v>
      </c>
      <c r="S139" s="1253" t="s">
        <v>2120</v>
      </c>
      <c r="T139" s="1253"/>
      <c r="U139" s="777"/>
      <c r="V139" s="300"/>
      <c r="W139" s="300"/>
      <c r="X139" s="300"/>
      <c r="Y139" s="300"/>
      <c r="Z139" s="300"/>
    </row>
    <row r="140" spans="2:26" ht="15" customHeight="1" x14ac:dyDescent="0.25">
      <c r="B140" s="17"/>
      <c r="C140" s="949"/>
      <c r="D140" s="17"/>
      <c r="E140" s="17"/>
      <c r="F140" s="17"/>
      <c r="G140" s="17"/>
      <c r="H140" s="17"/>
      <c r="I140" s="17"/>
      <c r="J140" s="17"/>
      <c r="K140" s="17"/>
      <c r="L140" s="17"/>
      <c r="M140" s="17"/>
      <c r="N140" s="17"/>
      <c r="O140" s="17"/>
      <c r="P140" s="60"/>
      <c r="Q140" s="17"/>
      <c r="R140" s="927">
        <f ca="1">IF(COUNTIF($R$126:$R139,1)&lt;$S$146,1,0)</f>
        <v>1</v>
      </c>
      <c r="S140" s="1252" t="str">
        <f ca="1">IF($S$134=1,"n.v.t.",COUNTIF(INDIRECT("$R$3:$R$"&amp;$S$137),1))</f>
        <v>n.v.t.</v>
      </c>
      <c r="T140" s="1252"/>
      <c r="U140" s="777"/>
      <c r="V140" s="300"/>
      <c r="W140" s="300"/>
      <c r="X140" s="300"/>
      <c r="Y140" s="300"/>
      <c r="Z140" s="300"/>
    </row>
    <row r="141" spans="2:26" ht="15" customHeight="1" x14ac:dyDescent="0.25">
      <c r="B141" s="17"/>
      <c r="C141" s="949"/>
      <c r="D141" s="17"/>
      <c r="E141" s="17"/>
      <c r="F141" s="17"/>
      <c r="G141" s="17"/>
      <c r="H141" s="17"/>
      <c r="I141" s="17"/>
      <c r="J141" s="17"/>
      <c r="K141" s="17"/>
      <c r="L141" s="17"/>
      <c r="M141" s="17"/>
      <c r="N141" s="17"/>
      <c r="O141" s="17"/>
      <c r="P141" s="60"/>
      <c r="Q141" s="17"/>
      <c r="R141" s="927">
        <f ca="1">IF(COUNTIF($R$126:$R140,1)&lt;$S$146,1,0)</f>
        <v>1</v>
      </c>
      <c r="S141" s="921"/>
      <c r="T141" s="921"/>
      <c r="U141" s="777"/>
      <c r="V141" s="300"/>
      <c r="W141" s="300"/>
      <c r="X141" s="300"/>
      <c r="Y141" s="300"/>
      <c r="Z141" s="300"/>
    </row>
    <row r="142" spans="2:26" ht="15" customHeight="1" x14ac:dyDescent="0.25">
      <c r="B142" s="17"/>
      <c r="C142" s="949"/>
      <c r="D142" s="17"/>
      <c r="E142" s="17"/>
      <c r="F142" s="17"/>
      <c r="G142" s="17"/>
      <c r="H142" s="17"/>
      <c r="I142" s="17"/>
      <c r="J142" s="17"/>
      <c r="K142" s="17"/>
      <c r="L142" s="17"/>
      <c r="M142" s="17"/>
      <c r="N142" s="17"/>
      <c r="O142" s="17"/>
      <c r="P142" s="60"/>
      <c r="Q142" s="17"/>
      <c r="R142" s="927">
        <f ca="1">IF(COUNTIF($R$126:$R141,1)&lt;$S$146,1,0)</f>
        <v>1</v>
      </c>
      <c r="S142" s="1253" t="s">
        <v>2125</v>
      </c>
      <c r="T142" s="1253"/>
      <c r="U142" s="777"/>
      <c r="V142" s="300"/>
      <c r="W142" s="300"/>
      <c r="X142" s="300"/>
      <c r="Y142" s="300"/>
      <c r="Z142" s="300"/>
    </row>
    <row r="143" spans="2:26" ht="15" customHeight="1" x14ac:dyDescent="0.25">
      <c r="B143" s="17"/>
      <c r="C143" s="949"/>
      <c r="D143" s="17"/>
      <c r="E143" s="17"/>
      <c r="F143" s="17"/>
      <c r="G143" s="17"/>
      <c r="H143" s="17"/>
      <c r="I143" s="17"/>
      <c r="J143" s="17"/>
      <c r="K143" s="17"/>
      <c r="L143" s="17"/>
      <c r="M143" s="17"/>
      <c r="N143" s="17"/>
      <c r="O143" s="17"/>
      <c r="P143" s="60"/>
      <c r="Q143" s="17"/>
      <c r="R143" s="927">
        <f ca="1">IF(COUNTIF($R$126:$R142,1)&lt;$S$146,1,0)</f>
        <v>1</v>
      </c>
      <c r="S143" s="1252" t="str">
        <f ca="1">IF($S$134=2,$S$140,"n.v.t.")</f>
        <v>n.v.t.</v>
      </c>
      <c r="T143" s="1252"/>
      <c r="U143" s="777"/>
      <c r="V143" s="300"/>
      <c r="W143" s="300"/>
      <c r="X143" s="300"/>
      <c r="Y143" s="300"/>
      <c r="Z143" s="300"/>
    </row>
    <row r="144" spans="2:26" ht="15" customHeight="1" x14ac:dyDescent="0.25">
      <c r="B144" s="17"/>
      <c r="C144" s="949"/>
      <c r="D144" s="17"/>
      <c r="E144" s="17"/>
      <c r="F144" s="17"/>
      <c r="G144" s="17"/>
      <c r="H144" s="17"/>
      <c r="I144" s="17"/>
      <c r="J144" s="17"/>
      <c r="K144" s="17"/>
      <c r="L144" s="17"/>
      <c r="M144" s="17"/>
      <c r="N144" s="17"/>
      <c r="O144" s="17"/>
      <c r="P144" s="60"/>
      <c r="Q144" s="17"/>
      <c r="R144" s="927">
        <f ca="1">IF(COUNTIF($R$126:$R143,1)&lt;$S$146,1,0)</f>
        <v>1</v>
      </c>
      <c r="S144" s="921"/>
      <c r="T144" s="921"/>
      <c r="U144" s="777"/>
      <c r="V144" s="300"/>
      <c r="W144" s="300"/>
      <c r="X144" s="300"/>
      <c r="Y144" s="300"/>
      <c r="Z144" s="300"/>
    </row>
    <row r="145" spans="2:26" ht="15" customHeight="1" x14ac:dyDescent="0.25">
      <c r="B145" s="17"/>
      <c r="C145" s="949"/>
      <c r="D145" s="17"/>
      <c r="E145" s="17"/>
      <c r="F145" s="17"/>
      <c r="G145" s="17"/>
      <c r="H145" s="17"/>
      <c r="I145" s="17"/>
      <c r="J145" s="17"/>
      <c r="K145" s="17"/>
      <c r="L145" s="17"/>
      <c r="M145" s="17"/>
      <c r="N145" s="17"/>
      <c r="O145" s="17"/>
      <c r="P145" s="60"/>
      <c r="Q145" s="17"/>
      <c r="R145" s="927">
        <f ca="1">IF(COUNTIF($R$126:$R144,1)&lt;$S$146,1,0)</f>
        <v>1</v>
      </c>
      <c r="S145" s="1253" t="s">
        <v>2126</v>
      </c>
      <c r="T145" s="1253"/>
      <c r="U145" s="777"/>
      <c r="V145" s="300"/>
      <c r="W145" s="300"/>
      <c r="X145" s="300"/>
      <c r="Y145" s="300"/>
      <c r="Z145" s="300"/>
    </row>
    <row r="146" spans="2:26" ht="15" customHeight="1" x14ac:dyDescent="0.25">
      <c r="B146" s="17"/>
      <c r="C146" s="949"/>
      <c r="D146" s="17"/>
      <c r="E146" s="17"/>
      <c r="F146" s="17"/>
      <c r="G146" s="17"/>
      <c r="H146" s="17"/>
      <c r="I146" s="17"/>
      <c r="J146" s="17"/>
      <c r="K146" s="17"/>
      <c r="L146" s="17"/>
      <c r="M146" s="17"/>
      <c r="N146" s="17"/>
      <c r="O146" s="17"/>
      <c r="P146" s="60"/>
      <c r="Q146" s="17"/>
      <c r="R146" s="927">
        <f ca="1">IF(COUNTIF($R$126:$R145,1)&lt;$S$146,1,0)</f>
        <v>1</v>
      </c>
      <c r="S146" s="1252">
        <f ca="1">IF($S$134=1,$S$128-$S$131,$S$140+$S$143-$S$131-2)</f>
        <v>52</v>
      </c>
      <c r="T146" s="1252"/>
      <c r="U146" s="777"/>
      <c r="V146" s="300"/>
      <c r="W146" s="300"/>
      <c r="X146" s="300"/>
      <c r="Y146" s="300"/>
      <c r="Z146" s="300"/>
    </row>
    <row r="147" spans="2:26" ht="15" customHeight="1" x14ac:dyDescent="0.25">
      <c r="B147" s="17"/>
      <c r="C147" s="949"/>
      <c r="D147" s="17"/>
      <c r="E147" s="17"/>
      <c r="F147" s="17"/>
      <c r="G147" s="17"/>
      <c r="H147" s="17"/>
      <c r="I147" s="17"/>
      <c r="J147" s="17"/>
      <c r="K147" s="17"/>
      <c r="L147" s="17"/>
      <c r="M147" s="17"/>
      <c r="N147" s="17"/>
      <c r="O147" s="17"/>
      <c r="P147" s="60"/>
      <c r="Q147" s="17"/>
      <c r="R147" s="927">
        <f ca="1">IF(COUNTIF($R$126:$R146,1)&lt;$S$146,1,0)</f>
        <v>1</v>
      </c>
      <c r="S147" s="921"/>
      <c r="T147" s="921"/>
      <c r="U147" s="777"/>
      <c r="V147" s="300"/>
      <c r="W147" s="300"/>
      <c r="X147" s="300"/>
      <c r="Y147" s="300"/>
      <c r="Z147" s="300"/>
    </row>
    <row r="148" spans="2:26" ht="15" customHeight="1" x14ac:dyDescent="0.25">
      <c r="B148" s="17"/>
      <c r="C148" s="949"/>
      <c r="D148" s="17"/>
      <c r="E148" s="17"/>
      <c r="F148" s="17"/>
      <c r="G148" s="17"/>
      <c r="H148" s="17"/>
      <c r="I148" s="17"/>
      <c r="J148" s="17"/>
      <c r="K148" s="17"/>
      <c r="L148" s="17"/>
      <c r="M148" s="17"/>
      <c r="N148" s="17"/>
      <c r="O148" s="17"/>
      <c r="P148" s="60"/>
      <c r="Q148" s="17"/>
      <c r="R148" s="927">
        <f ca="1">IF(COUNTIF($R$126:$R147,1)&lt;$S$146,1,0)</f>
        <v>1</v>
      </c>
      <c r="S148" s="921"/>
      <c r="T148" s="921"/>
      <c r="U148" s="777"/>
      <c r="V148" s="300"/>
      <c r="W148" s="300"/>
      <c r="X148" s="300"/>
      <c r="Y148" s="300"/>
      <c r="Z148" s="300"/>
    </row>
    <row r="149" spans="2:26" ht="15" customHeight="1" x14ac:dyDescent="0.25">
      <c r="B149" s="17"/>
      <c r="C149" s="949"/>
      <c r="D149" s="17"/>
      <c r="E149" s="17"/>
      <c r="F149" s="17"/>
      <c r="G149" s="17"/>
      <c r="H149" s="17"/>
      <c r="I149" s="17"/>
      <c r="J149" s="17"/>
      <c r="K149" s="17"/>
      <c r="L149" s="17"/>
      <c r="M149" s="17"/>
      <c r="N149" s="17"/>
      <c r="O149" s="17"/>
      <c r="P149" s="60"/>
      <c r="Q149" s="17"/>
      <c r="R149" s="927">
        <f ca="1">IF(COUNTIF($R$126:$R148,1)&lt;$S$146,1,0)</f>
        <v>1</v>
      </c>
      <c r="S149" s="921"/>
      <c r="T149" s="921"/>
      <c r="U149" s="777"/>
      <c r="V149" s="300"/>
      <c r="W149" s="300"/>
      <c r="X149" s="300"/>
      <c r="Y149" s="300"/>
      <c r="Z149" s="300"/>
    </row>
    <row r="150" spans="2:26" ht="15" customHeight="1" x14ac:dyDescent="0.25">
      <c r="B150" s="17"/>
      <c r="C150" s="949"/>
      <c r="D150" s="17"/>
      <c r="E150" s="17"/>
      <c r="F150" s="17"/>
      <c r="G150" s="17"/>
      <c r="H150" s="17"/>
      <c r="I150" s="17"/>
      <c r="J150" s="17"/>
      <c r="K150" s="17"/>
      <c r="L150" s="17"/>
      <c r="M150" s="17"/>
      <c r="N150" s="17"/>
      <c r="O150" s="17"/>
      <c r="P150" s="60"/>
      <c r="Q150" s="17"/>
      <c r="R150" s="927">
        <f ca="1">IF(COUNTIF($R$126:$R149,1)&lt;$S$146,1,0)</f>
        <v>1</v>
      </c>
      <c r="S150" s="921"/>
      <c r="T150" s="921"/>
      <c r="U150" s="777"/>
      <c r="V150" s="300"/>
      <c r="W150" s="300"/>
      <c r="X150" s="300"/>
      <c r="Y150" s="300"/>
      <c r="Z150" s="300"/>
    </row>
    <row r="151" spans="2:26" ht="15" customHeight="1" x14ac:dyDescent="0.25">
      <c r="B151" s="17"/>
      <c r="C151" s="949"/>
      <c r="D151" s="17"/>
      <c r="E151" s="17"/>
      <c r="F151" s="17"/>
      <c r="G151" s="17"/>
      <c r="H151" s="17"/>
      <c r="I151" s="17"/>
      <c r="J151" s="17"/>
      <c r="K151" s="17"/>
      <c r="L151" s="17"/>
      <c r="M151" s="17"/>
      <c r="N151" s="17"/>
      <c r="O151" s="17"/>
      <c r="P151" s="60"/>
      <c r="Q151" s="17"/>
      <c r="R151" s="927">
        <f ca="1">IF(COUNTIF($R$126:$R150,1)&lt;$S$146,1,0)</f>
        <v>1</v>
      </c>
      <c r="S151" s="921"/>
      <c r="T151" s="921"/>
      <c r="U151" s="777"/>
      <c r="V151" s="300"/>
      <c r="W151" s="300"/>
      <c r="X151" s="300"/>
      <c r="Y151" s="300"/>
      <c r="Z151" s="300"/>
    </row>
    <row r="152" spans="2:26" ht="15" customHeight="1" x14ac:dyDescent="0.25">
      <c r="B152" s="17"/>
      <c r="C152" s="949"/>
      <c r="D152" s="17"/>
      <c r="E152" s="17"/>
      <c r="F152" s="17"/>
      <c r="G152" s="17"/>
      <c r="H152" s="17"/>
      <c r="I152" s="17"/>
      <c r="J152" s="17"/>
      <c r="K152" s="17"/>
      <c r="L152" s="17"/>
      <c r="M152" s="17"/>
      <c r="N152" s="17"/>
      <c r="O152" s="17"/>
      <c r="P152" s="60"/>
      <c r="Q152" s="17"/>
      <c r="R152" s="927">
        <f ca="1">IF(COUNTIF($R$126:$R151,1)&lt;$S$146,1,0)</f>
        <v>1</v>
      </c>
      <c r="S152" s="921"/>
      <c r="T152" s="921"/>
      <c r="U152" s="777"/>
      <c r="V152" s="300"/>
      <c r="W152" s="300"/>
      <c r="X152" s="300"/>
      <c r="Y152" s="300"/>
      <c r="Z152" s="300"/>
    </row>
    <row r="153" spans="2:26" ht="15" customHeight="1" x14ac:dyDescent="0.25">
      <c r="B153" s="17"/>
      <c r="C153" s="949"/>
      <c r="D153" s="17"/>
      <c r="E153" s="17"/>
      <c r="F153" s="17"/>
      <c r="G153" s="17"/>
      <c r="H153" s="17"/>
      <c r="I153" s="17"/>
      <c r="J153" s="17"/>
      <c r="K153" s="17"/>
      <c r="L153" s="17"/>
      <c r="M153" s="17"/>
      <c r="N153" s="17"/>
      <c r="O153" s="17"/>
      <c r="P153" s="60"/>
      <c r="Q153" s="17"/>
      <c r="R153" s="927">
        <f ca="1">IF(COUNTIF($R$126:$R152,1)&lt;$S$146,1,0)</f>
        <v>1</v>
      </c>
      <c r="S153" s="921"/>
      <c r="T153" s="921"/>
      <c r="U153" s="777"/>
      <c r="V153" s="300"/>
      <c r="W153" s="300"/>
      <c r="X153" s="300"/>
      <c r="Y153" s="300"/>
      <c r="Z153" s="300"/>
    </row>
    <row r="154" spans="2:26" ht="15" customHeight="1" x14ac:dyDescent="0.25">
      <c r="B154" s="17"/>
      <c r="C154" s="949"/>
      <c r="D154" s="17"/>
      <c r="E154" s="17"/>
      <c r="F154" s="17"/>
      <c r="G154" s="17"/>
      <c r="H154" s="17"/>
      <c r="I154" s="17"/>
      <c r="J154" s="17"/>
      <c r="K154" s="17"/>
      <c r="L154" s="17"/>
      <c r="M154" s="17"/>
      <c r="N154" s="17"/>
      <c r="O154" s="17"/>
      <c r="P154" s="60"/>
      <c r="Q154" s="17"/>
      <c r="R154" s="927">
        <f ca="1">IF(COUNTIF($R$126:$R153,1)&lt;$S$146,1,0)</f>
        <v>1</v>
      </c>
      <c r="S154" s="921"/>
      <c r="T154" s="921"/>
      <c r="U154" s="777"/>
      <c r="V154" s="300"/>
      <c r="W154" s="300"/>
      <c r="X154" s="300"/>
      <c r="Y154" s="300"/>
      <c r="Z154" s="300"/>
    </row>
    <row r="155" spans="2:26" ht="15" customHeight="1" x14ac:dyDescent="0.25">
      <c r="B155" s="17"/>
      <c r="C155" s="949"/>
      <c r="D155" s="17"/>
      <c r="E155" s="17"/>
      <c r="F155" s="17"/>
      <c r="G155" s="17"/>
      <c r="H155" s="17"/>
      <c r="I155" s="17"/>
      <c r="J155" s="17"/>
      <c r="K155" s="17"/>
      <c r="L155" s="17"/>
      <c r="M155" s="17"/>
      <c r="N155" s="17"/>
      <c r="O155" s="17"/>
      <c r="P155" s="60"/>
      <c r="Q155" s="17"/>
      <c r="R155" s="927">
        <f ca="1">IF(COUNTIF($R$126:$R154,1)&lt;$S$146,1,0)</f>
        <v>1</v>
      </c>
      <c r="S155" s="921"/>
      <c r="T155" s="921"/>
      <c r="U155" s="777"/>
      <c r="V155" s="300"/>
      <c r="W155" s="300"/>
      <c r="X155" s="300"/>
      <c r="Y155" s="300"/>
      <c r="Z155" s="300"/>
    </row>
    <row r="156" spans="2:26" ht="15" customHeight="1" x14ac:dyDescent="0.25">
      <c r="B156" s="17"/>
      <c r="C156" s="949"/>
      <c r="D156" s="17"/>
      <c r="E156" s="17"/>
      <c r="F156" s="17"/>
      <c r="G156" s="17"/>
      <c r="H156" s="17"/>
      <c r="I156" s="17"/>
      <c r="J156" s="17"/>
      <c r="K156" s="17"/>
      <c r="L156" s="17"/>
      <c r="M156" s="17"/>
      <c r="N156" s="17"/>
      <c r="O156" s="17"/>
      <c r="P156" s="60"/>
      <c r="Q156" s="17"/>
      <c r="R156" s="927">
        <f ca="1">IF(COUNTIF($R$126:$R155,1)&lt;$S$146,1,0)</f>
        <v>1</v>
      </c>
      <c r="S156" s="921"/>
      <c r="T156" s="921"/>
      <c r="U156" s="777"/>
      <c r="V156" s="300"/>
      <c r="W156" s="300"/>
      <c r="X156" s="300"/>
      <c r="Y156" s="300"/>
      <c r="Z156" s="300"/>
    </row>
    <row r="157" spans="2:26" ht="15" customHeight="1" x14ac:dyDescent="0.25">
      <c r="B157" s="17"/>
      <c r="C157" s="949"/>
      <c r="D157" s="17"/>
      <c r="E157" s="17"/>
      <c r="F157" s="17"/>
      <c r="G157" s="17"/>
      <c r="H157" s="17"/>
      <c r="I157" s="17"/>
      <c r="J157" s="17"/>
      <c r="K157" s="17"/>
      <c r="L157" s="17"/>
      <c r="M157" s="17"/>
      <c r="N157" s="17"/>
      <c r="O157" s="17"/>
      <c r="P157" s="60"/>
      <c r="Q157" s="17"/>
      <c r="R157" s="927">
        <f ca="1">IF(COUNTIF($R$126:$R156,1)&lt;$S$146,1,0)</f>
        <v>1</v>
      </c>
      <c r="S157" s="921"/>
      <c r="T157" s="921"/>
      <c r="U157" s="777"/>
      <c r="V157" s="300"/>
      <c r="W157" s="300"/>
      <c r="X157" s="300"/>
      <c r="Y157" s="300"/>
      <c r="Z157" s="300"/>
    </row>
    <row r="158" spans="2:26" ht="15" customHeight="1" x14ac:dyDescent="0.25">
      <c r="B158" s="17"/>
      <c r="C158" s="949"/>
      <c r="D158" s="17"/>
      <c r="E158" s="17"/>
      <c r="F158" s="17"/>
      <c r="G158" s="17"/>
      <c r="H158" s="17"/>
      <c r="I158" s="17"/>
      <c r="J158" s="17"/>
      <c r="K158" s="17"/>
      <c r="L158" s="17"/>
      <c r="M158" s="17"/>
      <c r="N158" s="17"/>
      <c r="O158" s="17"/>
      <c r="P158" s="60"/>
      <c r="Q158" s="17"/>
      <c r="R158" s="927">
        <f ca="1">IF(COUNTIF($R$126:$R157,1)&lt;$S$146,1,0)</f>
        <v>1</v>
      </c>
      <c r="S158" s="921"/>
      <c r="T158" s="921"/>
      <c r="U158" s="777"/>
      <c r="V158" s="300"/>
      <c r="W158" s="300"/>
      <c r="X158" s="300"/>
      <c r="Y158" s="300"/>
      <c r="Z158" s="300"/>
    </row>
    <row r="159" spans="2:26" ht="15" customHeight="1" x14ac:dyDescent="0.25">
      <c r="B159" s="17"/>
      <c r="C159" s="949"/>
      <c r="D159" s="17"/>
      <c r="E159" s="17"/>
      <c r="F159" s="17"/>
      <c r="G159" s="17"/>
      <c r="H159" s="17"/>
      <c r="I159" s="17"/>
      <c r="J159" s="17"/>
      <c r="K159" s="17"/>
      <c r="L159" s="17"/>
      <c r="M159" s="17"/>
      <c r="N159" s="17"/>
      <c r="O159" s="17"/>
      <c r="P159" s="60"/>
      <c r="Q159" s="17"/>
      <c r="R159" s="927">
        <f ca="1">IF(COUNTIF($R$126:$R158,1)&lt;$S$146,1,0)</f>
        <v>1</v>
      </c>
      <c r="S159" s="921"/>
      <c r="T159" s="921"/>
      <c r="U159" s="777"/>
      <c r="V159" s="300"/>
      <c r="W159" s="300"/>
      <c r="X159" s="300"/>
      <c r="Y159" s="300"/>
      <c r="Z159" s="300"/>
    </row>
    <row r="160" spans="2:26" ht="15" customHeight="1" x14ac:dyDescent="0.25">
      <c r="B160" s="17"/>
      <c r="C160" s="949"/>
      <c r="D160" s="17"/>
      <c r="E160" s="17"/>
      <c r="F160" s="17"/>
      <c r="G160" s="17"/>
      <c r="H160" s="17"/>
      <c r="I160" s="17"/>
      <c r="J160" s="17"/>
      <c r="K160" s="17"/>
      <c r="L160" s="17"/>
      <c r="M160" s="17"/>
      <c r="N160" s="17"/>
      <c r="O160" s="17"/>
      <c r="P160" s="60"/>
      <c r="Q160" s="17"/>
      <c r="R160" s="927">
        <f ca="1">IF(COUNTIF($R$126:$R159,1)&lt;$S$146,1,0)</f>
        <v>1</v>
      </c>
      <c r="S160" s="921"/>
      <c r="T160" s="921"/>
      <c r="U160" s="777"/>
      <c r="V160" s="300"/>
      <c r="W160" s="300"/>
      <c r="X160" s="300"/>
      <c r="Y160" s="300"/>
      <c r="Z160" s="300"/>
    </row>
    <row r="161" spans="2:26" ht="15" customHeight="1" x14ac:dyDescent="0.25">
      <c r="B161" s="17"/>
      <c r="C161" s="949"/>
      <c r="D161" s="17"/>
      <c r="E161" s="17"/>
      <c r="F161" s="17"/>
      <c r="G161" s="17"/>
      <c r="H161" s="17"/>
      <c r="I161" s="17"/>
      <c r="J161" s="17"/>
      <c r="K161" s="17"/>
      <c r="L161" s="17"/>
      <c r="M161" s="17"/>
      <c r="N161" s="17"/>
      <c r="O161" s="17"/>
      <c r="P161" s="60"/>
      <c r="Q161" s="17"/>
      <c r="R161" s="927">
        <f ca="1">IF(COUNTIF($R$126:$R160,1)&lt;$S$146,1,0)</f>
        <v>1</v>
      </c>
      <c r="S161" s="921"/>
      <c r="T161" s="921"/>
      <c r="U161" s="777"/>
      <c r="V161" s="300"/>
      <c r="W161" s="300"/>
      <c r="X161" s="300"/>
      <c r="Y161" s="300"/>
      <c r="Z161" s="300"/>
    </row>
    <row r="162" spans="2:26" ht="15" customHeight="1" x14ac:dyDescent="0.25">
      <c r="B162" s="17"/>
      <c r="C162" s="949"/>
      <c r="D162" s="17"/>
      <c r="E162" s="17"/>
      <c r="F162" s="17"/>
      <c r="G162" s="17"/>
      <c r="H162" s="17"/>
      <c r="I162" s="17"/>
      <c r="J162" s="17"/>
      <c r="K162" s="17"/>
      <c r="L162" s="17"/>
      <c r="M162" s="17"/>
      <c r="N162" s="17"/>
      <c r="O162" s="17"/>
      <c r="P162" s="60"/>
      <c r="Q162" s="17"/>
      <c r="R162" s="927">
        <f ca="1">IF(COUNTIF($R$126:$R161,1)&lt;$S$146,1,0)</f>
        <v>1</v>
      </c>
      <c r="S162" s="921"/>
      <c r="T162" s="921"/>
      <c r="U162" s="777"/>
      <c r="V162" s="300"/>
      <c r="W162" s="300"/>
      <c r="X162" s="300"/>
      <c r="Y162" s="300"/>
      <c r="Z162" s="300"/>
    </row>
    <row r="163" spans="2:26" ht="15" customHeight="1" x14ac:dyDescent="0.25">
      <c r="B163" s="17"/>
      <c r="C163" s="949"/>
      <c r="D163" s="17"/>
      <c r="E163" s="17"/>
      <c r="F163" s="17"/>
      <c r="G163" s="17"/>
      <c r="H163" s="17"/>
      <c r="I163" s="17"/>
      <c r="J163" s="17"/>
      <c r="K163" s="17"/>
      <c r="L163" s="17"/>
      <c r="M163" s="17"/>
      <c r="N163" s="17"/>
      <c r="O163" s="17"/>
      <c r="P163" s="60"/>
      <c r="Q163" s="17"/>
      <c r="R163" s="927">
        <f ca="1">IF(COUNTIF($R$126:$R162,1)&lt;$S$146,1,0)</f>
        <v>1</v>
      </c>
      <c r="S163" s="921"/>
      <c r="T163" s="921"/>
      <c r="U163" s="777"/>
      <c r="V163" s="300"/>
      <c r="W163" s="300"/>
      <c r="X163" s="300"/>
      <c r="Y163" s="300"/>
      <c r="Z163" s="300"/>
    </row>
    <row r="164" spans="2:26" ht="15" customHeight="1" x14ac:dyDescent="0.25">
      <c r="B164" s="17"/>
      <c r="C164" s="949"/>
      <c r="D164" s="17"/>
      <c r="E164" s="17"/>
      <c r="F164" s="17"/>
      <c r="G164" s="17"/>
      <c r="H164" s="17"/>
      <c r="I164" s="17"/>
      <c r="J164" s="17"/>
      <c r="K164" s="17"/>
      <c r="L164" s="17"/>
      <c r="M164" s="17"/>
      <c r="N164" s="17"/>
      <c r="O164" s="17"/>
      <c r="P164" s="60"/>
      <c r="Q164" s="17"/>
      <c r="R164" s="927">
        <f ca="1">IF(COUNTIF($R$126:$R163,1)&lt;$S$146,1,0)</f>
        <v>1</v>
      </c>
      <c r="S164" s="921"/>
      <c r="T164" s="921"/>
      <c r="U164" s="777"/>
      <c r="V164" s="300"/>
      <c r="W164" s="300"/>
      <c r="X164" s="300"/>
      <c r="Y164" s="300"/>
      <c r="Z164" s="300"/>
    </row>
    <row r="165" spans="2:26" ht="15" customHeight="1" x14ac:dyDescent="0.25">
      <c r="B165" s="17"/>
      <c r="C165" s="949"/>
      <c r="D165" s="17"/>
      <c r="E165" s="17"/>
      <c r="F165" s="17"/>
      <c r="G165" s="17"/>
      <c r="H165" s="17"/>
      <c r="I165" s="17"/>
      <c r="J165" s="17"/>
      <c r="K165" s="17"/>
      <c r="L165" s="17"/>
      <c r="M165" s="17"/>
      <c r="N165" s="17"/>
      <c r="O165" s="17"/>
      <c r="P165" s="60"/>
      <c r="Q165" s="17"/>
      <c r="R165" s="927">
        <f ca="1">IF(COUNTIF($R$126:$R164,1)&lt;$S$146,1,0)</f>
        <v>1</v>
      </c>
      <c r="S165" s="921"/>
      <c r="T165" s="921"/>
      <c r="U165" s="777"/>
      <c r="V165" s="300"/>
      <c r="W165" s="300"/>
      <c r="X165" s="300"/>
      <c r="Y165" s="300"/>
      <c r="Z165" s="300"/>
    </row>
    <row r="166" spans="2:26" ht="15" customHeight="1" x14ac:dyDescent="0.25">
      <c r="B166" s="17"/>
      <c r="C166" s="949"/>
      <c r="D166" s="17"/>
      <c r="E166" s="17"/>
      <c r="F166" s="17"/>
      <c r="G166" s="17"/>
      <c r="H166" s="17"/>
      <c r="I166" s="17"/>
      <c r="J166" s="17"/>
      <c r="K166" s="17"/>
      <c r="L166" s="17"/>
      <c r="M166" s="17"/>
      <c r="N166" s="17"/>
      <c r="O166" s="17"/>
      <c r="P166" s="60"/>
      <c r="Q166" s="17"/>
      <c r="R166" s="927">
        <f ca="1">IF(COUNTIF($R$126:$R165,1)&lt;$S$146,1,0)</f>
        <v>1</v>
      </c>
      <c r="S166" s="921"/>
      <c r="T166" s="921"/>
      <c r="U166" s="777"/>
      <c r="V166" s="300"/>
      <c r="W166" s="300"/>
      <c r="X166" s="300"/>
      <c r="Y166" s="300"/>
      <c r="Z166" s="300"/>
    </row>
    <row r="167" spans="2:26" ht="15" customHeight="1" x14ac:dyDescent="0.25">
      <c r="B167" s="17"/>
      <c r="C167" s="949"/>
      <c r="D167" s="17"/>
      <c r="E167" s="17"/>
      <c r="F167" s="17"/>
      <c r="G167" s="17"/>
      <c r="H167" s="17"/>
      <c r="I167" s="17"/>
      <c r="J167" s="17"/>
      <c r="K167" s="17"/>
      <c r="L167" s="17"/>
      <c r="M167" s="17"/>
      <c r="N167" s="17"/>
      <c r="O167" s="17"/>
      <c r="P167" s="60"/>
      <c r="Q167" s="17"/>
      <c r="R167" s="927">
        <f ca="1">IF(COUNTIF($R$126:$R166,1)&lt;$S$146,1,0)</f>
        <v>1</v>
      </c>
      <c r="S167" s="921"/>
      <c r="T167" s="921"/>
      <c r="U167" s="777"/>
      <c r="V167" s="300"/>
      <c r="W167" s="300"/>
      <c r="X167" s="300"/>
      <c r="Y167" s="300"/>
      <c r="Z167" s="300"/>
    </row>
    <row r="168" spans="2:26" ht="15" customHeight="1" x14ac:dyDescent="0.25">
      <c r="B168" s="17"/>
      <c r="C168" s="949"/>
      <c r="D168" s="17"/>
      <c r="E168" s="17"/>
      <c r="F168" s="17"/>
      <c r="G168" s="17"/>
      <c r="H168" s="17"/>
      <c r="I168" s="17"/>
      <c r="J168" s="17"/>
      <c r="K168" s="17"/>
      <c r="L168" s="17"/>
      <c r="M168" s="17"/>
      <c r="N168" s="17"/>
      <c r="O168" s="17"/>
      <c r="P168" s="60"/>
      <c r="Q168" s="17"/>
      <c r="R168" s="927">
        <f ca="1">IF(COUNTIF($R$126:$R167,1)&lt;$S$146,1,0)</f>
        <v>1</v>
      </c>
      <c r="S168" s="921"/>
      <c r="T168" s="921"/>
      <c r="U168" s="777"/>
      <c r="V168" s="300"/>
      <c r="W168" s="300"/>
      <c r="X168" s="300"/>
      <c r="Y168" s="300"/>
      <c r="Z168" s="300"/>
    </row>
    <row r="169" spans="2:26" ht="15" customHeight="1" x14ac:dyDescent="0.25">
      <c r="B169" s="17"/>
      <c r="C169" s="949"/>
      <c r="D169" s="17"/>
      <c r="E169" s="17"/>
      <c r="F169" s="17"/>
      <c r="G169" s="17"/>
      <c r="H169" s="17"/>
      <c r="I169" s="17"/>
      <c r="J169" s="17"/>
      <c r="K169" s="17"/>
      <c r="L169" s="17"/>
      <c r="M169" s="17"/>
      <c r="N169" s="17"/>
      <c r="O169" s="17"/>
      <c r="P169" s="60"/>
      <c r="Q169" s="17"/>
      <c r="R169" s="927">
        <f ca="1">IF(COUNTIF($R$126:$R168,1)&lt;$S$146,1,0)</f>
        <v>1</v>
      </c>
      <c r="S169" s="921"/>
      <c r="T169" s="921"/>
      <c r="U169" s="777"/>
      <c r="V169" s="300"/>
      <c r="W169" s="300"/>
      <c r="X169" s="300"/>
      <c r="Y169" s="300"/>
      <c r="Z169" s="300"/>
    </row>
    <row r="170" spans="2:26" ht="15" customHeight="1" x14ac:dyDescent="0.25">
      <c r="B170" s="17"/>
      <c r="C170" s="949"/>
      <c r="D170" s="17"/>
      <c r="E170" s="17"/>
      <c r="F170" s="17"/>
      <c r="G170" s="17"/>
      <c r="H170" s="17"/>
      <c r="I170" s="17"/>
      <c r="J170" s="17"/>
      <c r="K170" s="17"/>
      <c r="L170" s="17"/>
      <c r="M170" s="17"/>
      <c r="N170" s="17"/>
      <c r="O170" s="17"/>
      <c r="P170" s="60"/>
      <c r="Q170" s="17"/>
      <c r="R170" s="927">
        <f ca="1">IF(COUNTIF($R$126:$R169,1)&lt;$S$146,1,0)</f>
        <v>1</v>
      </c>
      <c r="S170" s="921"/>
      <c r="T170" s="921"/>
      <c r="U170" s="777"/>
      <c r="V170" s="300"/>
      <c r="W170" s="300"/>
      <c r="X170" s="300"/>
      <c r="Y170" s="300"/>
      <c r="Z170" s="300"/>
    </row>
    <row r="171" spans="2:26" ht="15" customHeight="1" x14ac:dyDescent="0.25">
      <c r="B171" s="17"/>
      <c r="C171" s="949"/>
      <c r="D171" s="17"/>
      <c r="E171" s="17"/>
      <c r="F171" s="17"/>
      <c r="G171" s="17"/>
      <c r="H171" s="17"/>
      <c r="I171" s="17"/>
      <c r="J171" s="17"/>
      <c r="K171" s="17"/>
      <c r="L171" s="17"/>
      <c r="M171" s="17"/>
      <c r="N171" s="17"/>
      <c r="O171" s="17"/>
      <c r="P171" s="60"/>
      <c r="Q171" s="17"/>
      <c r="R171" s="927">
        <f ca="1">IF(COUNTIF($R$126:$R170,1)&lt;$S$146,1,0)</f>
        <v>1</v>
      </c>
      <c r="S171" s="921"/>
      <c r="T171" s="921"/>
      <c r="U171" s="777"/>
      <c r="V171" s="300"/>
      <c r="W171" s="300"/>
      <c r="X171" s="300"/>
      <c r="Y171" s="300"/>
      <c r="Z171" s="300"/>
    </row>
    <row r="172" spans="2:26" ht="15" customHeight="1" x14ac:dyDescent="0.25">
      <c r="B172" s="17"/>
      <c r="C172" s="949"/>
      <c r="D172" s="17"/>
      <c r="E172" s="17"/>
      <c r="F172" s="17"/>
      <c r="G172" s="17"/>
      <c r="H172" s="17"/>
      <c r="I172" s="17"/>
      <c r="J172" s="17"/>
      <c r="K172" s="17"/>
      <c r="L172" s="17"/>
      <c r="M172" s="17"/>
      <c r="N172" s="17"/>
      <c r="O172" s="17"/>
      <c r="P172" s="60"/>
      <c r="Q172" s="17"/>
      <c r="R172" s="927">
        <f ca="1">IF(COUNTIF($R$126:$R171,1)&lt;$S$146,1,0)</f>
        <v>1</v>
      </c>
      <c r="S172" s="921"/>
      <c r="T172" s="921"/>
      <c r="U172" s="777"/>
      <c r="V172" s="300"/>
      <c r="W172" s="300"/>
      <c r="X172" s="300"/>
      <c r="Y172" s="300"/>
      <c r="Z172" s="300"/>
    </row>
    <row r="173" spans="2:26" ht="15" customHeight="1" x14ac:dyDescent="0.25">
      <c r="B173" s="17"/>
      <c r="C173" s="949"/>
      <c r="D173" s="17"/>
      <c r="E173" s="17"/>
      <c r="F173" s="17"/>
      <c r="G173" s="17"/>
      <c r="H173" s="17"/>
      <c r="I173" s="17"/>
      <c r="J173" s="17"/>
      <c r="K173" s="17"/>
      <c r="L173" s="17"/>
      <c r="M173" s="17"/>
      <c r="N173" s="17"/>
      <c r="O173" s="17"/>
      <c r="P173" s="60"/>
      <c r="Q173" s="17"/>
      <c r="R173" s="927">
        <f ca="1">IF(COUNTIF($R$126:$R172,1)&lt;$S$146,1,0)</f>
        <v>1</v>
      </c>
      <c r="S173" s="921"/>
      <c r="T173" s="921"/>
      <c r="U173" s="777"/>
      <c r="V173" s="300"/>
      <c r="W173" s="300"/>
      <c r="X173" s="300"/>
      <c r="Y173" s="300"/>
      <c r="Z173" s="300"/>
    </row>
    <row r="174" spans="2:26" ht="15" customHeight="1" x14ac:dyDescent="0.25">
      <c r="B174" s="17"/>
      <c r="C174" s="949"/>
      <c r="D174" s="17"/>
      <c r="E174" s="17"/>
      <c r="F174" s="17"/>
      <c r="G174" s="17"/>
      <c r="H174" s="17"/>
      <c r="I174" s="17"/>
      <c r="J174" s="17"/>
      <c r="K174" s="17"/>
      <c r="L174" s="17"/>
      <c r="M174" s="17"/>
      <c r="N174" s="17"/>
      <c r="O174" s="17"/>
      <c r="P174" s="60"/>
      <c r="Q174" s="17"/>
      <c r="R174" s="927">
        <f ca="1">IF(COUNTIF($R$126:$R173,1)&lt;$S$146,1,0)</f>
        <v>1</v>
      </c>
      <c r="S174" s="921"/>
      <c r="T174" s="921"/>
      <c r="U174" s="777"/>
      <c r="V174" s="300"/>
      <c r="W174" s="300"/>
      <c r="X174" s="300"/>
      <c r="Y174" s="300"/>
      <c r="Z174" s="300"/>
    </row>
    <row r="175" spans="2:26" ht="15" customHeight="1" x14ac:dyDescent="0.25">
      <c r="B175" s="17"/>
      <c r="C175" s="949"/>
      <c r="D175" s="17"/>
      <c r="E175" s="17"/>
      <c r="F175" s="17"/>
      <c r="G175" s="17"/>
      <c r="H175" s="17"/>
      <c r="I175" s="17"/>
      <c r="J175" s="17"/>
      <c r="K175" s="17"/>
      <c r="L175" s="17"/>
      <c r="M175" s="17"/>
      <c r="N175" s="17"/>
      <c r="O175" s="17"/>
      <c r="P175" s="60"/>
      <c r="Q175" s="17"/>
      <c r="R175" s="927">
        <f ca="1">IF(COUNTIF($R$126:$R174,1)&lt;$S$146,1,0)</f>
        <v>1</v>
      </c>
      <c r="S175" s="921"/>
      <c r="T175" s="921"/>
      <c r="U175" s="777"/>
      <c r="V175" s="300"/>
      <c r="W175" s="300"/>
      <c r="X175" s="300"/>
      <c r="Y175" s="300"/>
      <c r="Z175" s="300"/>
    </row>
    <row r="176" spans="2:26" ht="15" customHeight="1" x14ac:dyDescent="0.25">
      <c r="B176" s="17"/>
      <c r="C176" s="949"/>
      <c r="D176" s="17"/>
      <c r="E176" s="17"/>
      <c r="F176" s="17"/>
      <c r="G176" s="17"/>
      <c r="H176" s="17"/>
      <c r="I176" s="17"/>
      <c r="J176" s="17"/>
      <c r="K176" s="17"/>
      <c r="L176" s="17"/>
      <c r="M176" s="17"/>
      <c r="N176" s="17"/>
      <c r="O176" s="17"/>
      <c r="P176" s="60"/>
      <c r="Q176" s="17"/>
      <c r="R176" s="927">
        <f ca="1">IF(COUNTIF($R$126:$R175,1)&lt;$S$146,1,0)</f>
        <v>1</v>
      </c>
      <c r="S176" s="921"/>
      <c r="T176" s="921"/>
      <c r="U176" s="777"/>
      <c r="V176" s="300"/>
      <c r="W176" s="300"/>
      <c r="X176" s="300"/>
      <c r="Y176" s="300"/>
      <c r="Z176" s="300"/>
    </row>
    <row r="177" spans="2:26" ht="15" customHeight="1" x14ac:dyDescent="0.25">
      <c r="B177" s="17"/>
      <c r="C177" s="949"/>
      <c r="D177" s="17"/>
      <c r="E177" s="17"/>
      <c r="F177" s="17"/>
      <c r="G177" s="17"/>
      <c r="H177" s="17"/>
      <c r="I177" s="17"/>
      <c r="J177" s="17"/>
      <c r="K177" s="17"/>
      <c r="L177" s="17"/>
      <c r="M177" s="17"/>
      <c r="N177" s="17"/>
      <c r="O177" s="17"/>
      <c r="P177" s="60"/>
      <c r="Q177" s="17"/>
      <c r="R177" s="927">
        <f ca="1">IF(COUNTIF($R$126:$R176,1)&lt;$S$146,1,0)</f>
        <v>1</v>
      </c>
      <c r="S177" s="921"/>
      <c r="T177" s="921"/>
      <c r="U177" s="777"/>
      <c r="V177" s="300"/>
      <c r="W177" s="300"/>
      <c r="X177" s="300"/>
      <c r="Y177" s="300"/>
      <c r="Z177" s="300"/>
    </row>
    <row r="178" spans="2:26" ht="15" hidden="1" customHeight="1" x14ac:dyDescent="0.25">
      <c r="B178" s="17"/>
      <c r="C178" s="949"/>
      <c r="D178" s="17"/>
      <c r="E178" s="17"/>
      <c r="F178" s="17"/>
      <c r="G178" s="17"/>
      <c r="H178" s="17"/>
      <c r="I178" s="17"/>
      <c r="J178" s="17"/>
      <c r="K178" s="17"/>
      <c r="L178" s="17"/>
      <c r="M178" s="17"/>
      <c r="N178" s="17"/>
      <c r="O178" s="17"/>
      <c r="P178" s="60"/>
      <c r="Q178" s="17"/>
      <c r="R178" s="927">
        <f ca="1">IF(COUNTIF($R$126:$R177,1)&lt;$S$146,1,0)</f>
        <v>0</v>
      </c>
      <c r="S178" s="921"/>
      <c r="T178" s="921"/>
      <c r="U178" s="777"/>
      <c r="V178" s="300"/>
      <c r="W178" s="300"/>
      <c r="X178" s="300"/>
      <c r="Y178" s="300"/>
      <c r="Z178" s="300"/>
    </row>
    <row r="179" spans="2:26" ht="15" hidden="1" customHeight="1" x14ac:dyDescent="0.25">
      <c r="B179" s="17"/>
      <c r="C179" s="949"/>
      <c r="D179" s="17"/>
      <c r="E179" s="17"/>
      <c r="F179" s="17"/>
      <c r="G179" s="17"/>
      <c r="H179" s="17"/>
      <c r="I179" s="17"/>
      <c r="J179" s="17"/>
      <c r="K179" s="17"/>
      <c r="L179" s="17"/>
      <c r="M179" s="17"/>
      <c r="N179" s="17"/>
      <c r="O179" s="17"/>
      <c r="P179" s="60"/>
      <c r="Q179" s="17"/>
      <c r="R179" s="927">
        <f ca="1">IF(COUNTIF($R$126:$R178,1)&lt;$S$146,1,0)</f>
        <v>0</v>
      </c>
      <c r="S179" s="921"/>
      <c r="T179" s="921"/>
      <c r="U179" s="777"/>
      <c r="V179" s="300"/>
      <c r="W179" s="300"/>
      <c r="X179" s="300"/>
      <c r="Y179" s="300"/>
      <c r="Z179" s="300"/>
    </row>
    <row r="180" spans="2:26" ht="15" hidden="1" customHeight="1" x14ac:dyDescent="0.25">
      <c r="B180" s="17"/>
      <c r="C180" s="949"/>
      <c r="D180" s="17"/>
      <c r="E180" s="17"/>
      <c r="F180" s="17"/>
      <c r="G180" s="17"/>
      <c r="H180" s="17"/>
      <c r="I180" s="17"/>
      <c r="J180" s="17"/>
      <c r="K180" s="17"/>
      <c r="L180" s="17"/>
      <c r="M180" s="17"/>
      <c r="N180" s="17"/>
      <c r="O180" s="17"/>
      <c r="P180" s="60"/>
      <c r="Q180" s="17"/>
      <c r="R180" s="927">
        <f ca="1">IF(COUNTIF($R$126:$R179,1)&lt;$S$146,1,0)</f>
        <v>0</v>
      </c>
      <c r="S180" s="921"/>
      <c r="T180" s="921"/>
      <c r="U180" s="777"/>
      <c r="V180" s="300"/>
      <c r="W180" s="300"/>
      <c r="X180" s="300"/>
      <c r="Y180" s="300"/>
      <c r="Z180" s="300"/>
    </row>
    <row r="181" spans="2:26" ht="15" hidden="1" customHeight="1" x14ac:dyDescent="0.25">
      <c r="B181" s="17"/>
      <c r="C181" s="949"/>
      <c r="D181" s="17"/>
      <c r="E181" s="17"/>
      <c r="F181" s="17"/>
      <c r="G181" s="17"/>
      <c r="H181" s="17"/>
      <c r="I181" s="17"/>
      <c r="J181" s="17"/>
      <c r="K181" s="17"/>
      <c r="L181" s="17"/>
      <c r="M181" s="17"/>
      <c r="N181" s="17"/>
      <c r="O181" s="17"/>
      <c r="P181" s="60"/>
      <c r="Q181" s="17"/>
      <c r="R181" s="927">
        <f ca="1">IF(COUNTIF($R$126:$R180,1)&lt;$S$146,1,0)</f>
        <v>0</v>
      </c>
      <c r="S181" s="921"/>
      <c r="T181" s="921"/>
      <c r="U181" s="777"/>
      <c r="V181" s="300"/>
      <c r="W181" s="300"/>
      <c r="X181" s="300"/>
      <c r="Y181" s="300"/>
      <c r="Z181" s="300"/>
    </row>
    <row r="182" spans="2:26" ht="15" hidden="1" customHeight="1" x14ac:dyDescent="0.25">
      <c r="B182" s="17"/>
      <c r="C182" s="949"/>
      <c r="D182" s="17"/>
      <c r="E182" s="17"/>
      <c r="F182" s="17"/>
      <c r="G182" s="17"/>
      <c r="H182" s="17"/>
      <c r="I182" s="17"/>
      <c r="J182" s="17"/>
      <c r="K182" s="17"/>
      <c r="L182" s="17"/>
      <c r="M182" s="17"/>
      <c r="N182" s="17"/>
      <c r="O182" s="17"/>
      <c r="P182" s="60"/>
      <c r="Q182" s="17"/>
      <c r="R182" s="927">
        <f ca="1">IF(COUNTIF($R$126:$R181,1)&lt;$S$146,1,0)</f>
        <v>0</v>
      </c>
      <c r="S182" s="921"/>
      <c r="T182" s="921"/>
      <c r="U182" s="777"/>
      <c r="V182" s="300"/>
      <c r="W182" s="300"/>
      <c r="X182" s="300"/>
      <c r="Y182" s="300"/>
      <c r="Z182" s="300"/>
    </row>
    <row r="183" spans="2:26" ht="15" hidden="1" customHeight="1" x14ac:dyDescent="0.25">
      <c r="B183" s="17"/>
      <c r="C183" s="949"/>
      <c r="D183" s="17"/>
      <c r="E183" s="17"/>
      <c r="F183" s="17"/>
      <c r="G183" s="17"/>
      <c r="H183" s="17"/>
      <c r="I183" s="17"/>
      <c r="J183" s="17"/>
      <c r="K183" s="17"/>
      <c r="L183" s="17"/>
      <c r="M183" s="17"/>
      <c r="N183" s="17"/>
      <c r="O183" s="17"/>
      <c r="P183" s="60"/>
      <c r="Q183" s="17"/>
      <c r="R183" s="927">
        <f ca="1">IF(COUNTIF($R$126:$R182,1)&lt;$S$146,1,0)</f>
        <v>0</v>
      </c>
      <c r="S183" s="921"/>
      <c r="T183" s="921"/>
      <c r="U183" s="777"/>
      <c r="V183" s="300"/>
      <c r="W183" s="300"/>
      <c r="X183" s="300"/>
      <c r="Y183" s="300"/>
      <c r="Z183" s="300"/>
    </row>
    <row r="184" spans="2:26" ht="15" hidden="1" customHeight="1" x14ac:dyDescent="0.25">
      <c r="B184" s="17"/>
      <c r="C184" s="949"/>
      <c r="D184" s="17"/>
      <c r="E184" s="17"/>
      <c r="F184" s="17"/>
      <c r="G184" s="17"/>
      <c r="H184" s="17"/>
      <c r="I184" s="17"/>
      <c r="J184" s="17"/>
      <c r="K184" s="17"/>
      <c r="L184" s="17"/>
      <c r="M184" s="17"/>
      <c r="N184" s="17"/>
      <c r="O184" s="17"/>
      <c r="P184" s="60"/>
      <c r="Q184" s="17"/>
      <c r="R184" s="927">
        <f ca="1">IF(COUNTIF($R$126:$R183,1)&lt;$S$146,1,0)</f>
        <v>0</v>
      </c>
      <c r="S184" s="921"/>
      <c r="T184" s="921"/>
      <c r="U184" s="777"/>
      <c r="V184" s="300"/>
      <c r="W184" s="300"/>
      <c r="X184" s="300"/>
      <c r="Y184" s="300"/>
      <c r="Z184" s="300"/>
    </row>
    <row r="185" spans="2:26" ht="15" hidden="1" customHeight="1" x14ac:dyDescent="0.25">
      <c r="B185" s="17"/>
      <c r="C185" s="949"/>
      <c r="D185" s="17"/>
      <c r="E185" s="17"/>
      <c r="F185" s="17"/>
      <c r="G185" s="17"/>
      <c r="H185" s="17"/>
      <c r="I185" s="17"/>
      <c r="J185" s="17"/>
      <c r="K185" s="17"/>
      <c r="L185" s="17"/>
      <c r="M185" s="17"/>
      <c r="N185" s="17"/>
      <c r="O185" s="17"/>
      <c r="P185" s="60"/>
      <c r="Q185" s="17"/>
      <c r="R185" s="927">
        <f ca="1">IF(COUNTIF($R$126:$R184,1)&lt;$S$146,1,0)</f>
        <v>0</v>
      </c>
      <c r="S185" s="921"/>
      <c r="T185" s="921"/>
      <c r="U185" s="777"/>
      <c r="V185" s="300"/>
      <c r="W185" s="300"/>
      <c r="X185" s="300"/>
      <c r="Y185" s="300"/>
      <c r="Z185" s="300"/>
    </row>
    <row r="186" spans="2:26" ht="15" hidden="1" customHeight="1" x14ac:dyDescent="0.25">
      <c r="B186" s="17"/>
      <c r="C186" s="949"/>
      <c r="D186" s="17"/>
      <c r="E186" s="17"/>
      <c r="F186" s="17"/>
      <c r="G186" s="17"/>
      <c r="H186" s="17"/>
      <c r="I186" s="17"/>
      <c r="J186" s="17"/>
      <c r="K186" s="17"/>
      <c r="L186" s="17"/>
      <c r="M186" s="17"/>
      <c r="N186" s="17"/>
      <c r="O186" s="17"/>
      <c r="P186" s="60"/>
      <c r="Q186" s="17"/>
      <c r="R186" s="927">
        <f ca="1">IF(COUNTIF($R$126:$R185,1)&lt;$S$146,1,0)</f>
        <v>0</v>
      </c>
      <c r="S186" s="921"/>
      <c r="T186" s="921"/>
      <c r="U186" s="777"/>
      <c r="V186" s="300"/>
      <c r="W186" s="300"/>
      <c r="X186" s="300"/>
      <c r="Y186" s="300"/>
      <c r="Z186" s="300"/>
    </row>
    <row r="187" spans="2:26" ht="15" hidden="1" customHeight="1" x14ac:dyDescent="0.25">
      <c r="B187" s="17"/>
      <c r="C187" s="949"/>
      <c r="D187" s="17"/>
      <c r="E187" s="17"/>
      <c r="F187" s="17"/>
      <c r="G187" s="17"/>
      <c r="H187" s="17"/>
      <c r="I187" s="17"/>
      <c r="J187" s="17"/>
      <c r="K187" s="17"/>
      <c r="L187" s="17"/>
      <c r="M187" s="17"/>
      <c r="N187" s="17"/>
      <c r="O187" s="17"/>
      <c r="P187" s="60"/>
      <c r="Q187" s="17"/>
      <c r="R187" s="927">
        <f ca="1">IF(COUNTIF($R$126:$R186,1)&lt;$S$146,1,0)</f>
        <v>0</v>
      </c>
      <c r="S187" s="921"/>
      <c r="T187" s="921"/>
      <c r="U187" s="777"/>
      <c r="V187" s="300"/>
      <c r="W187" s="300"/>
      <c r="X187" s="300"/>
      <c r="Y187" s="300"/>
      <c r="Z187" s="300"/>
    </row>
    <row r="188" spans="2:26" ht="15" customHeight="1" x14ac:dyDescent="0.25">
      <c r="B188" s="17"/>
      <c r="C188" s="950"/>
      <c r="D188" s="107"/>
      <c r="E188" s="107"/>
      <c r="F188" s="107"/>
      <c r="G188" s="107"/>
      <c r="H188" s="107"/>
      <c r="I188" s="107"/>
      <c r="J188" s="107"/>
      <c r="K188" s="107"/>
      <c r="L188" s="107"/>
      <c r="M188" s="107"/>
      <c r="N188" s="107"/>
      <c r="O188" s="107"/>
      <c r="P188" s="952"/>
      <c r="Q188" s="17"/>
      <c r="R188" s="928">
        <v>1</v>
      </c>
      <c r="S188" s="296"/>
      <c r="T188" s="296"/>
      <c r="U188" s="1257"/>
      <c r="V188" s="923"/>
      <c r="W188" s="923"/>
      <c r="X188" s="923"/>
      <c r="Y188" s="923"/>
      <c r="Z188" s="923"/>
    </row>
    <row r="189" spans="2:26" x14ac:dyDescent="0.25">
      <c r="B189" s="17"/>
      <c r="C189" s="12"/>
      <c r="D189" s="12"/>
      <c r="E189" s="12"/>
      <c r="F189" s="12"/>
      <c r="G189" s="12"/>
      <c r="H189" s="12"/>
      <c r="I189" s="12"/>
      <c r="J189" s="12"/>
      <c r="K189" s="12"/>
      <c r="L189" s="12"/>
      <c r="M189" s="12"/>
      <c r="N189" s="12"/>
      <c r="O189" s="12"/>
      <c r="P189" s="12"/>
      <c r="Q189" s="17"/>
      <c r="R189" s="928">
        <v>1</v>
      </c>
      <c r="S189" s="296"/>
      <c r="T189" s="296"/>
      <c r="U189" s="1257"/>
      <c r="V189" s="923"/>
      <c r="W189" s="923"/>
      <c r="X189" s="923"/>
      <c r="Y189" s="923"/>
      <c r="Z189" s="923"/>
    </row>
    <row r="190" spans="2:26" ht="15" customHeight="1" x14ac:dyDescent="0.25">
      <c r="B190" s="17"/>
      <c r="C190" s="974"/>
      <c r="D190" s="992" t="str">
        <f>IF(Reglement!D71="","",Reglement!D71)</f>
        <v>www.excel-pool.nl</v>
      </c>
      <c r="E190" s="992"/>
      <c r="F190" s="992"/>
      <c r="G190" s="992"/>
      <c r="H190" s="992"/>
      <c r="I190" s="992"/>
      <c r="J190" s="992"/>
      <c r="K190" s="992"/>
      <c r="L190" s="992"/>
      <c r="M190" s="992"/>
      <c r="N190" s="992"/>
      <c r="O190" s="993" t="str">
        <f>IF(Reglement!M71="","",Reglement!M71)</f>
        <v>©2024 Eric de Jong v24.00dh</v>
      </c>
      <c r="P190" s="978"/>
      <c r="Q190" s="17"/>
      <c r="R190" s="928">
        <v>1</v>
      </c>
      <c r="S190" s="296"/>
      <c r="T190" s="296"/>
      <c r="U190" s="47"/>
      <c r="V190" s="300"/>
      <c r="W190" s="300"/>
      <c r="Y190" s="300"/>
      <c r="Z190" s="300"/>
    </row>
    <row r="191" spans="2:26" ht="15" customHeight="1" x14ac:dyDescent="0.25">
      <c r="B191" s="17"/>
      <c r="C191" s="16"/>
      <c r="D191" s="16"/>
      <c r="E191" s="16"/>
      <c r="F191" s="16"/>
      <c r="G191" s="16"/>
      <c r="H191" s="16"/>
      <c r="I191" s="16"/>
      <c r="J191" s="16"/>
      <c r="K191" s="16"/>
      <c r="L191" s="16"/>
      <c r="M191" s="16"/>
      <c r="N191" s="16"/>
      <c r="O191" s="16"/>
      <c r="P191" s="16"/>
      <c r="Q191" s="17"/>
      <c r="R191" s="927"/>
      <c r="S191" s="296"/>
      <c r="T191" s="296"/>
      <c r="U191" s="47"/>
      <c r="V191" s="300"/>
      <c r="W191" s="300"/>
      <c r="Y191" s="300"/>
      <c r="Z191" s="300"/>
    </row>
    <row r="192" spans="2:26" x14ac:dyDescent="0.25">
      <c r="S192" s="44"/>
    </row>
    <row r="193" spans="2:20" x14ac:dyDescent="0.25">
      <c r="S193" s="44"/>
    </row>
    <row r="194" spans="2:20" x14ac:dyDescent="0.25">
      <c r="S194" s="44"/>
    </row>
    <row r="195" spans="2:20" x14ac:dyDescent="0.25">
      <c r="S195" s="44"/>
    </row>
    <row r="196" spans="2:20" x14ac:dyDescent="0.25">
      <c r="S196" s="44"/>
    </row>
    <row r="197" spans="2:20" x14ac:dyDescent="0.25">
      <c r="S197" s="44"/>
    </row>
    <row r="198" spans="2:20" x14ac:dyDescent="0.25">
      <c r="S198" s="44"/>
    </row>
    <row r="199" spans="2:20" x14ac:dyDescent="0.25">
      <c r="S199" s="44"/>
    </row>
    <row r="200" spans="2:20" x14ac:dyDescent="0.25">
      <c r="S200" s="44"/>
    </row>
    <row r="201" spans="2:20" ht="15" hidden="1" customHeight="1" x14ac:dyDescent="0.25">
      <c r="B201" s="1258" t="str">
        <f>"01"</f>
        <v>01</v>
      </c>
      <c r="C201" s="1258"/>
      <c r="D201" s="10" t="s">
        <v>69</v>
      </c>
      <c r="E201" s="877"/>
      <c r="F201" s="10" t="s">
        <v>16</v>
      </c>
      <c r="G201" s="877"/>
      <c r="H201" s="10" t="s">
        <v>322</v>
      </c>
      <c r="I201" s="739" t="s">
        <v>2004</v>
      </c>
      <c r="J201" s="878">
        <v>0</v>
      </c>
      <c r="K201" s="68" t="s">
        <v>2005</v>
      </c>
      <c r="L201" s="10" t="str">
        <f>IF(J201=1,RIGHT("000"&amp;ROW(),3),"999")</f>
        <v>999</v>
      </c>
      <c r="M201" s="10">
        <f>BIN2DEC(10000000)*100000</f>
        <v>12800000</v>
      </c>
      <c r="O201" s="918">
        <f ca="1">T19</f>
        <v>0</v>
      </c>
      <c r="P201" s="32"/>
      <c r="Q201" s="32"/>
      <c r="R201" s="930"/>
      <c r="S201" s="32"/>
      <c r="T201" s="32"/>
    </row>
    <row r="202" spans="2:20" ht="15" hidden="1" customHeight="1" x14ac:dyDescent="0.25">
      <c r="B202" s="1258" t="str">
        <f>RIGHT("00"&amp;B201*1+1,2)</f>
        <v>02</v>
      </c>
      <c r="C202" s="1258"/>
      <c r="D202" s="10" t="s">
        <v>69</v>
      </c>
      <c r="E202" s="877"/>
      <c r="F202" s="10" t="s">
        <v>16</v>
      </c>
      <c r="G202" s="877"/>
      <c r="H202" s="10" t="s">
        <v>322</v>
      </c>
      <c r="I202" s="739" t="s">
        <v>2004</v>
      </c>
      <c r="J202" s="878">
        <v>0</v>
      </c>
      <c r="K202" s="68" t="s">
        <v>2005</v>
      </c>
      <c r="L202" s="10" t="str">
        <f t="shared" ref="L202:L220" si="0">IF(J202=1,RIGHT("000"&amp;ROW(),3),"999")</f>
        <v>999</v>
      </c>
      <c r="M202" s="10">
        <f>BIN2DEC(1000000)*100000</f>
        <v>6400000</v>
      </c>
      <c r="O202" s="918">
        <f ca="1">T24</f>
        <v>0</v>
      </c>
      <c r="P202" s="32"/>
      <c r="Q202" s="919" t="s">
        <v>2012</v>
      </c>
      <c r="R202" s="930"/>
      <c r="S202" s="32"/>
      <c r="T202" s="32"/>
    </row>
    <row r="203" spans="2:20" hidden="1" x14ac:dyDescent="0.25">
      <c r="B203" s="1258" t="str">
        <f t="shared" ref="B203:B220" si="1">RIGHT("00"&amp;B202*1+1,2)</f>
        <v>03</v>
      </c>
      <c r="C203" s="1258"/>
      <c r="D203" s="10" t="s">
        <v>69</v>
      </c>
      <c r="E203" s="877"/>
      <c r="F203" s="10" t="s">
        <v>16</v>
      </c>
      <c r="G203" s="877"/>
      <c r="H203" s="10" t="s">
        <v>322</v>
      </c>
      <c r="I203" s="739" t="s">
        <v>2004</v>
      </c>
      <c r="J203" s="878">
        <v>0</v>
      </c>
      <c r="K203" s="68" t="s">
        <v>2005</v>
      </c>
      <c r="L203" s="10" t="str">
        <f t="shared" si="0"/>
        <v>999</v>
      </c>
      <c r="M203" s="10">
        <f>BIN2DEC(100000)*100000</f>
        <v>3200000</v>
      </c>
      <c r="O203" s="918">
        <f ca="1">T29</f>
        <v>0</v>
      </c>
      <c r="P203" s="32"/>
      <c r="Q203" s="1259" t="str">
        <f>IF(T3=1,COUNTIF(O201:O220,"&gt;0"),"-")</f>
        <v>-</v>
      </c>
      <c r="R203" s="1259"/>
      <c r="S203" s="1259"/>
      <c r="T203" s="32"/>
    </row>
    <row r="204" spans="2:20" hidden="1" x14ac:dyDescent="0.25">
      <c r="B204" s="1258" t="str">
        <f t="shared" si="1"/>
        <v>04</v>
      </c>
      <c r="C204" s="1258"/>
      <c r="D204" s="10" t="s">
        <v>69</v>
      </c>
      <c r="E204" s="877"/>
      <c r="F204" s="10" t="s">
        <v>16</v>
      </c>
      <c r="G204" s="877"/>
      <c r="H204" s="10" t="s">
        <v>322</v>
      </c>
      <c r="I204" s="739" t="s">
        <v>2004</v>
      </c>
      <c r="J204" s="878">
        <v>0</v>
      </c>
      <c r="K204" s="68" t="s">
        <v>2005</v>
      </c>
      <c r="L204" s="10" t="str">
        <f t="shared" si="0"/>
        <v>999</v>
      </c>
      <c r="M204" s="10">
        <f>BIN2DEC(10000)*100000</f>
        <v>1600000</v>
      </c>
      <c r="O204" s="918">
        <f ca="1">T34</f>
        <v>0</v>
      </c>
      <c r="P204" s="32"/>
      <c r="Q204" s="32"/>
      <c r="R204" s="930"/>
      <c r="S204" s="32"/>
      <c r="T204" s="32"/>
    </row>
    <row r="205" spans="2:20" hidden="1" x14ac:dyDescent="0.25">
      <c r="B205" s="1258" t="str">
        <f t="shared" si="1"/>
        <v>05</v>
      </c>
      <c r="C205" s="1258"/>
      <c r="D205" s="10" t="s">
        <v>69</v>
      </c>
      <c r="E205" s="877"/>
      <c r="F205" s="10" t="s">
        <v>16</v>
      </c>
      <c r="G205" s="877"/>
      <c r="H205" s="10" t="s">
        <v>322</v>
      </c>
      <c r="I205" s="739" t="s">
        <v>2004</v>
      </c>
      <c r="J205" s="878">
        <v>0</v>
      </c>
      <c r="K205" s="68" t="s">
        <v>2005</v>
      </c>
      <c r="L205" s="10" t="str">
        <f t="shared" si="0"/>
        <v>999</v>
      </c>
      <c r="M205" s="10">
        <f>BIN2DEC(1000)*100000</f>
        <v>800000</v>
      </c>
      <c r="O205" s="918">
        <f ca="1">T39</f>
        <v>0</v>
      </c>
      <c r="P205" s="32"/>
      <c r="Q205" s="919" t="s">
        <v>2013</v>
      </c>
      <c r="R205" s="930"/>
      <c r="S205" s="32"/>
      <c r="T205" s="32"/>
    </row>
    <row r="206" spans="2:20" hidden="1" x14ac:dyDescent="0.25">
      <c r="B206" s="1258" t="str">
        <f t="shared" si="1"/>
        <v>06</v>
      </c>
      <c r="C206" s="1258"/>
      <c r="D206" s="10" t="s">
        <v>69</v>
      </c>
      <c r="E206" s="877"/>
      <c r="F206" s="10" t="s">
        <v>16</v>
      </c>
      <c r="G206" s="877"/>
      <c r="H206" s="10" t="s">
        <v>322</v>
      </c>
      <c r="I206" s="739" t="s">
        <v>2004</v>
      </c>
      <c r="J206" s="878">
        <v>0</v>
      </c>
      <c r="K206" s="68" t="s">
        <v>2005</v>
      </c>
      <c r="L206" s="10" t="str">
        <f t="shared" si="0"/>
        <v>999</v>
      </c>
      <c r="M206" s="10">
        <f>BIN2DEC(100)*100000</f>
        <v>400000</v>
      </c>
      <c r="O206" s="918">
        <f ca="1">T44</f>
        <v>0</v>
      </c>
      <c r="P206" s="32"/>
      <c r="Q206" s="1259" t="str">
        <f>IF(T3=1,T5,"-")</f>
        <v>-</v>
      </c>
      <c r="R206" s="1259"/>
      <c r="S206" s="1259"/>
      <c r="T206" s="32"/>
    </row>
    <row r="207" spans="2:20" ht="15" hidden="1" customHeight="1" x14ac:dyDescent="0.25">
      <c r="B207" s="1258" t="str">
        <f t="shared" si="1"/>
        <v>07</v>
      </c>
      <c r="C207" s="1258"/>
      <c r="D207" s="10" t="s">
        <v>69</v>
      </c>
      <c r="E207" s="877"/>
      <c r="F207" s="10" t="s">
        <v>16</v>
      </c>
      <c r="G207" s="877"/>
      <c r="H207" s="10" t="s">
        <v>322</v>
      </c>
      <c r="I207" s="739" t="s">
        <v>2004</v>
      </c>
      <c r="J207" s="878">
        <v>0</v>
      </c>
      <c r="K207" s="68" t="s">
        <v>2005</v>
      </c>
      <c r="L207" s="10" t="str">
        <f t="shared" si="0"/>
        <v>999</v>
      </c>
      <c r="M207" s="10">
        <f>BIN2DEC(10)*100000</f>
        <v>200000</v>
      </c>
      <c r="O207" s="918">
        <f ca="1">T49</f>
        <v>0</v>
      </c>
      <c r="P207" s="32"/>
      <c r="Q207" s="32"/>
      <c r="R207" s="930"/>
      <c r="S207" s="32"/>
      <c r="T207" s="32"/>
    </row>
    <row r="208" spans="2:20" ht="15" hidden="1" customHeight="1" x14ac:dyDescent="0.25">
      <c r="B208" s="1258" t="str">
        <f t="shared" si="1"/>
        <v>08</v>
      </c>
      <c r="C208" s="1258"/>
      <c r="D208" s="10" t="s">
        <v>69</v>
      </c>
      <c r="E208" s="877"/>
      <c r="F208" s="10" t="s">
        <v>16</v>
      </c>
      <c r="G208" s="877"/>
      <c r="H208" s="10" t="s">
        <v>322</v>
      </c>
      <c r="I208" s="739" t="s">
        <v>2004</v>
      </c>
      <c r="J208" s="878">
        <v>0</v>
      </c>
      <c r="K208" s="68" t="s">
        <v>2005</v>
      </c>
      <c r="L208" s="10" t="str">
        <f t="shared" si="0"/>
        <v>999</v>
      </c>
      <c r="M208" s="10">
        <f>BIN2DEC(1)*100000</f>
        <v>100000</v>
      </c>
      <c r="O208" s="918">
        <f ca="1">T54</f>
        <v>0</v>
      </c>
      <c r="P208" s="32"/>
      <c r="Q208" s="919" t="s">
        <v>2014</v>
      </c>
      <c r="R208" s="930"/>
      <c r="S208" s="32"/>
      <c r="T208" s="32"/>
    </row>
    <row r="209" spans="2:20" ht="15" hidden="1" customHeight="1" x14ac:dyDescent="0.25">
      <c r="B209" s="1258" t="str">
        <f t="shared" si="1"/>
        <v>09</v>
      </c>
      <c r="C209" s="1258"/>
      <c r="D209" s="10" t="s">
        <v>69</v>
      </c>
      <c r="E209" s="877"/>
      <c r="F209" s="10" t="s">
        <v>16</v>
      </c>
      <c r="G209" s="877"/>
      <c r="H209" s="10" t="s">
        <v>322</v>
      </c>
      <c r="I209" s="739" t="s">
        <v>2004</v>
      </c>
      <c r="J209" s="878">
        <v>0</v>
      </c>
      <c r="K209" s="68" t="s">
        <v>2005</v>
      </c>
      <c r="L209" s="10" t="str">
        <f t="shared" si="0"/>
        <v>999</v>
      </c>
      <c r="M209" s="10">
        <f>BIN2DEC(10000000)*100</f>
        <v>12800</v>
      </c>
      <c r="O209" s="918">
        <f ca="1">T59</f>
        <v>0</v>
      </c>
      <c r="P209" s="32"/>
      <c r="Q209" s="1259" t="str">
        <f>IF(T3=1,IF(T6=0,99,T6),"-")</f>
        <v>-</v>
      </c>
      <c r="R209" s="1259"/>
      <c r="S209" s="1259"/>
      <c r="T209" s="32"/>
    </row>
    <row r="210" spans="2:20" hidden="1" x14ac:dyDescent="0.25">
      <c r="B210" s="1258" t="str">
        <f t="shared" si="1"/>
        <v>10</v>
      </c>
      <c r="C210" s="1258"/>
      <c r="D210" s="10" t="s">
        <v>69</v>
      </c>
      <c r="E210" s="877"/>
      <c r="F210" s="10" t="s">
        <v>16</v>
      </c>
      <c r="G210" s="877"/>
      <c r="H210" s="10" t="s">
        <v>322</v>
      </c>
      <c r="I210" s="739" t="s">
        <v>2004</v>
      </c>
      <c r="J210" s="878">
        <v>0</v>
      </c>
      <c r="K210" s="68" t="s">
        <v>2005</v>
      </c>
      <c r="L210" s="10" t="str">
        <f t="shared" si="0"/>
        <v>999</v>
      </c>
      <c r="M210" s="10">
        <f>BIN2DEC(1000000)*100</f>
        <v>6400</v>
      </c>
      <c r="O210" s="918">
        <f ca="1">T64</f>
        <v>0</v>
      </c>
      <c r="P210" s="32"/>
      <c r="Q210" s="32"/>
      <c r="R210" s="930"/>
      <c r="S210" s="32"/>
      <c r="T210" s="32"/>
    </row>
    <row r="211" spans="2:20" hidden="1" x14ac:dyDescent="0.25">
      <c r="B211" s="1258" t="str">
        <f t="shared" si="1"/>
        <v>11</v>
      </c>
      <c r="C211" s="1258"/>
      <c r="D211" s="10" t="s">
        <v>69</v>
      </c>
      <c r="E211" s="877"/>
      <c r="F211" s="10" t="s">
        <v>16</v>
      </c>
      <c r="G211" s="877"/>
      <c r="H211" s="10" t="s">
        <v>322</v>
      </c>
      <c r="I211" s="739" t="s">
        <v>2004</v>
      </c>
      <c r="J211" s="878">
        <v>0</v>
      </c>
      <c r="K211" s="68" t="s">
        <v>2005</v>
      </c>
      <c r="L211" s="10" t="str">
        <f t="shared" si="0"/>
        <v>999</v>
      </c>
      <c r="M211" s="10">
        <f>BIN2DEC(100000)*100</f>
        <v>3200</v>
      </c>
      <c r="O211" s="918">
        <f ca="1">T70</f>
        <v>0</v>
      </c>
      <c r="P211" s="32"/>
      <c r="Q211" s="919" t="s">
        <v>2022</v>
      </c>
      <c r="R211" s="930"/>
      <c r="S211" s="32"/>
      <c r="T211" s="32"/>
    </row>
    <row r="212" spans="2:20" hidden="1" x14ac:dyDescent="0.25">
      <c r="B212" s="1258" t="str">
        <f t="shared" si="1"/>
        <v>12</v>
      </c>
      <c r="C212" s="1258"/>
      <c r="D212" s="10" t="s">
        <v>69</v>
      </c>
      <c r="E212" s="877"/>
      <c r="F212" s="10" t="s">
        <v>16</v>
      </c>
      <c r="G212" s="877"/>
      <c r="H212" s="10" t="s">
        <v>322</v>
      </c>
      <c r="I212" s="739" t="s">
        <v>2004</v>
      </c>
      <c r="J212" s="878">
        <v>0</v>
      </c>
      <c r="K212" s="68" t="s">
        <v>2005</v>
      </c>
      <c r="L212" s="10" t="str">
        <f t="shared" si="0"/>
        <v>999</v>
      </c>
      <c r="M212" s="10">
        <f>BIN2DEC(10000)*100</f>
        <v>1600</v>
      </c>
      <c r="O212" s="918">
        <f ca="1">T76</f>
        <v>0</v>
      </c>
      <c r="P212" s="32"/>
      <c r="Q212" s="1259" t="str">
        <f>IF(T3=1,IF(AND(Q203&gt;=Q206,Q203&lt;=Q209),1,IF(Q203&gt;Q209,3,2)),"-")</f>
        <v>-</v>
      </c>
      <c r="R212" s="1259"/>
      <c r="S212" s="1259"/>
      <c r="T212" s="32"/>
    </row>
    <row r="213" spans="2:20" hidden="1" x14ac:dyDescent="0.25">
      <c r="B213" s="1258" t="str">
        <f t="shared" si="1"/>
        <v>13</v>
      </c>
      <c r="C213" s="1258"/>
      <c r="D213" s="10" t="s">
        <v>69</v>
      </c>
      <c r="E213" s="877"/>
      <c r="F213" s="10" t="s">
        <v>16</v>
      </c>
      <c r="G213" s="877"/>
      <c r="H213" s="10" t="s">
        <v>322</v>
      </c>
      <c r="I213" s="739" t="s">
        <v>2004</v>
      </c>
      <c r="J213" s="878">
        <v>0</v>
      </c>
      <c r="K213" s="68" t="s">
        <v>2005</v>
      </c>
      <c r="L213" s="10" t="str">
        <f t="shared" si="0"/>
        <v>999</v>
      </c>
      <c r="M213" s="10">
        <f>BIN2DEC(1000)*100</f>
        <v>800</v>
      </c>
      <c r="O213" s="918">
        <f ca="1">T82</f>
        <v>0</v>
      </c>
      <c r="P213" s="32"/>
      <c r="Q213" s="32"/>
      <c r="R213" s="930"/>
      <c r="S213" s="32"/>
      <c r="T213" s="32"/>
    </row>
    <row r="214" spans="2:20" hidden="1" x14ac:dyDescent="0.25">
      <c r="B214" s="1258" t="str">
        <f t="shared" si="1"/>
        <v>14</v>
      </c>
      <c r="C214" s="1258"/>
      <c r="D214" s="10" t="s">
        <v>69</v>
      </c>
      <c r="E214" s="877"/>
      <c r="F214" s="10" t="s">
        <v>16</v>
      </c>
      <c r="G214" s="877"/>
      <c r="H214" s="10" t="s">
        <v>322</v>
      </c>
      <c r="I214" s="739" t="s">
        <v>2004</v>
      </c>
      <c r="J214" s="878">
        <v>0</v>
      </c>
      <c r="K214" s="68" t="s">
        <v>2005</v>
      </c>
      <c r="L214" s="10" t="str">
        <f t="shared" si="0"/>
        <v>999</v>
      </c>
      <c r="M214" s="10">
        <f>BIN2DEC(100)*100</f>
        <v>400</v>
      </c>
      <c r="O214" s="918">
        <f ca="1">T88</f>
        <v>0</v>
      </c>
      <c r="P214" s="32"/>
      <c r="Q214" s="919" t="s">
        <v>1968</v>
      </c>
      <c r="R214" s="930"/>
      <c r="S214" s="32"/>
      <c r="T214" s="32"/>
    </row>
    <row r="215" spans="2:20" hidden="1" x14ac:dyDescent="0.25">
      <c r="B215" s="1258" t="str">
        <f t="shared" si="1"/>
        <v>15</v>
      </c>
      <c r="C215" s="1258"/>
      <c r="D215" s="10" t="s">
        <v>69</v>
      </c>
      <c r="E215" s="877"/>
      <c r="F215" s="10" t="s">
        <v>16</v>
      </c>
      <c r="G215" s="877"/>
      <c r="H215" s="10" t="s">
        <v>322</v>
      </c>
      <c r="I215" s="739" t="s">
        <v>2004</v>
      </c>
      <c r="J215" s="878">
        <v>0</v>
      </c>
      <c r="K215" s="68" t="s">
        <v>2005</v>
      </c>
      <c r="L215" s="10" t="str">
        <f t="shared" si="0"/>
        <v>999</v>
      </c>
      <c r="M215" s="10">
        <f>BIN2DEC(10)*100</f>
        <v>200</v>
      </c>
      <c r="O215" s="918">
        <f ca="1">T94</f>
        <v>0</v>
      </c>
      <c r="P215" s="32"/>
      <c r="Q215" s="1259" t="str">
        <f>IF(AND(T3=1,Q212=1),"&lt;"&amp;RIGHT("00000000"&amp;SUM(O201:O220),8)&amp;"&gt;","-")</f>
        <v>-</v>
      </c>
      <c r="R215" s="1259"/>
      <c r="S215" s="1259"/>
      <c r="T215" s="32"/>
    </row>
    <row r="216" spans="2:20" hidden="1" x14ac:dyDescent="0.25">
      <c r="B216" s="1258" t="str">
        <f t="shared" si="1"/>
        <v>16</v>
      </c>
      <c r="C216" s="1258"/>
      <c r="D216" s="10" t="s">
        <v>69</v>
      </c>
      <c r="E216" s="877"/>
      <c r="F216" s="10" t="s">
        <v>16</v>
      </c>
      <c r="G216" s="877"/>
      <c r="H216" s="10" t="s">
        <v>322</v>
      </c>
      <c r="I216" s="739" t="s">
        <v>2004</v>
      </c>
      <c r="J216" s="878">
        <v>0</v>
      </c>
      <c r="K216" s="68" t="s">
        <v>2005</v>
      </c>
      <c r="L216" s="10" t="str">
        <f t="shared" si="0"/>
        <v>999</v>
      </c>
      <c r="M216" s="10">
        <f>BIN2DEC(1)*100</f>
        <v>100</v>
      </c>
      <c r="O216" s="918">
        <f ca="1">T100</f>
        <v>0</v>
      </c>
      <c r="P216" s="32"/>
      <c r="Q216" s="32"/>
      <c r="R216" s="930"/>
      <c r="S216" s="32"/>
      <c r="T216" s="32"/>
    </row>
    <row r="217" spans="2:20" hidden="1" x14ac:dyDescent="0.25">
      <c r="B217" s="1258" t="str">
        <f t="shared" si="1"/>
        <v>17</v>
      </c>
      <c r="C217" s="1258"/>
      <c r="D217" s="10" t="s">
        <v>69</v>
      </c>
      <c r="E217" s="877"/>
      <c r="F217" s="10" t="s">
        <v>16</v>
      </c>
      <c r="G217" s="877"/>
      <c r="H217" s="10" t="s">
        <v>322</v>
      </c>
      <c r="I217" s="739" t="s">
        <v>2004</v>
      </c>
      <c r="J217" s="878">
        <v>0</v>
      </c>
      <c r="K217" s="68" t="s">
        <v>2005</v>
      </c>
      <c r="L217" s="10" t="str">
        <f t="shared" si="0"/>
        <v>999</v>
      </c>
      <c r="M217" s="10">
        <f>BIN2DEC(1000)*1</f>
        <v>8</v>
      </c>
      <c r="O217" s="918">
        <f ca="1">T106</f>
        <v>0</v>
      </c>
      <c r="P217" s="32"/>
      <c r="Q217" s="32"/>
      <c r="R217" s="930"/>
      <c r="S217" s="32"/>
      <c r="T217" s="32"/>
    </row>
    <row r="218" spans="2:20" hidden="1" x14ac:dyDescent="0.25">
      <c r="B218" s="1258" t="str">
        <f t="shared" si="1"/>
        <v>18</v>
      </c>
      <c r="C218" s="1258"/>
      <c r="D218" s="10" t="s">
        <v>69</v>
      </c>
      <c r="E218" s="877"/>
      <c r="F218" s="10" t="s">
        <v>16</v>
      </c>
      <c r="G218" s="877"/>
      <c r="H218" s="10" t="s">
        <v>322</v>
      </c>
      <c r="I218" s="739" t="s">
        <v>2004</v>
      </c>
      <c r="J218" s="878">
        <v>0</v>
      </c>
      <c r="K218" s="68" t="s">
        <v>2005</v>
      </c>
      <c r="L218" s="10" t="str">
        <f t="shared" si="0"/>
        <v>999</v>
      </c>
      <c r="M218" s="10">
        <f>BIN2DEC(100)*1</f>
        <v>4</v>
      </c>
      <c r="O218" s="918">
        <f ca="1">T112</f>
        <v>0</v>
      </c>
      <c r="P218" s="32"/>
      <c r="Q218" s="32"/>
      <c r="R218" s="930"/>
      <c r="S218" s="32"/>
      <c r="T218" s="32"/>
    </row>
    <row r="219" spans="2:20" hidden="1" x14ac:dyDescent="0.25">
      <c r="B219" s="1258" t="str">
        <f t="shared" si="1"/>
        <v>19</v>
      </c>
      <c r="C219" s="1258"/>
      <c r="D219" s="10" t="s">
        <v>69</v>
      </c>
      <c r="E219" s="877"/>
      <c r="F219" s="10" t="s">
        <v>16</v>
      </c>
      <c r="G219" s="877"/>
      <c r="H219" s="10" t="s">
        <v>322</v>
      </c>
      <c r="I219" s="739" t="s">
        <v>2004</v>
      </c>
      <c r="J219" s="878">
        <v>0</v>
      </c>
      <c r="K219" s="68" t="s">
        <v>2005</v>
      </c>
      <c r="L219" s="10" t="str">
        <f t="shared" si="0"/>
        <v>999</v>
      </c>
      <c r="M219" s="10">
        <f>BIN2DEC(10)*1</f>
        <v>2</v>
      </c>
      <c r="O219" s="918">
        <f ca="1">T118</f>
        <v>0</v>
      </c>
      <c r="P219" s="32"/>
      <c r="Q219" s="32"/>
      <c r="R219" s="930"/>
      <c r="S219" s="32"/>
      <c r="T219" s="32"/>
    </row>
    <row r="220" spans="2:20" hidden="1" x14ac:dyDescent="0.25">
      <c r="B220" s="1258" t="str">
        <f t="shared" si="1"/>
        <v>20</v>
      </c>
      <c r="C220" s="1258"/>
      <c r="D220" s="10" t="s">
        <v>69</v>
      </c>
      <c r="E220" s="877"/>
      <c r="F220" s="10" t="s">
        <v>16</v>
      </c>
      <c r="G220" s="877"/>
      <c r="H220" s="10" t="s">
        <v>322</v>
      </c>
      <c r="I220" s="739" t="s">
        <v>2004</v>
      </c>
      <c r="J220" s="878">
        <v>0</v>
      </c>
      <c r="K220" s="68" t="s">
        <v>2005</v>
      </c>
      <c r="L220" s="10" t="str">
        <f t="shared" si="0"/>
        <v>999</v>
      </c>
      <c r="M220" s="10">
        <f>BIN2DEC(1)*1</f>
        <v>1</v>
      </c>
      <c r="O220" s="918">
        <f ca="1">T124</f>
        <v>0</v>
      </c>
      <c r="P220" s="32"/>
      <c r="Q220" s="32"/>
      <c r="R220" s="930"/>
      <c r="S220" s="32"/>
      <c r="T220" s="32"/>
    </row>
    <row r="221" spans="2:20" x14ac:dyDescent="0.25">
      <c r="H221" s="44" t="s">
        <v>322</v>
      </c>
    </row>
    <row r="228" spans="22:22" x14ac:dyDescent="0.25">
      <c r="V228" s="426"/>
    </row>
    <row r="229" spans="22:22" x14ac:dyDescent="0.25">
      <c r="V229" s="426"/>
    </row>
    <row r="230" spans="22:22" x14ac:dyDescent="0.25">
      <c r="V230" s="426"/>
    </row>
  </sheetData>
  <sheetProtection algorithmName="SHA-512" hashValue="b7eeAf6a0lUKISMkQcN08E+hOOiV/QKXFFUFYqp5RyMEmUEgQCfr+fHBMTOramQFaYUqlgQeKIccHBb4+8lyvQ==" saltValue="tgVMK8CZTMHWzPA8D4nEdw==" spinCount="100000" sheet="1" objects="1" scenarios="1" selectLockedCells="1"/>
  <mergeCells count="69">
    <mergeCell ref="Q203:S203"/>
    <mergeCell ref="Q206:S206"/>
    <mergeCell ref="Q209:S209"/>
    <mergeCell ref="Q212:S212"/>
    <mergeCell ref="Q215:S215"/>
    <mergeCell ref="B216:C216"/>
    <mergeCell ref="B217:C217"/>
    <mergeCell ref="B218:C218"/>
    <mergeCell ref="B219:C219"/>
    <mergeCell ref="B220:C220"/>
    <mergeCell ref="B211:C211"/>
    <mergeCell ref="B212:C212"/>
    <mergeCell ref="B213:C213"/>
    <mergeCell ref="B214:C214"/>
    <mergeCell ref="B215:C215"/>
    <mergeCell ref="B206:C206"/>
    <mergeCell ref="B207:C207"/>
    <mergeCell ref="B208:C208"/>
    <mergeCell ref="B209:C209"/>
    <mergeCell ref="B210:C210"/>
    <mergeCell ref="B201:C201"/>
    <mergeCell ref="B202:C202"/>
    <mergeCell ref="B203:C203"/>
    <mergeCell ref="B204:C204"/>
    <mergeCell ref="B205:C205"/>
    <mergeCell ref="D56:O58"/>
    <mergeCell ref="D51:O53"/>
    <mergeCell ref="D46:O48"/>
    <mergeCell ref="U188:U189"/>
    <mergeCell ref="U48:U50"/>
    <mergeCell ref="D67:O69"/>
    <mergeCell ref="D73:O75"/>
    <mergeCell ref="D79:O81"/>
    <mergeCell ref="D85:O87"/>
    <mergeCell ref="D91:O93"/>
    <mergeCell ref="D97:O99"/>
    <mergeCell ref="D103:O105"/>
    <mergeCell ref="D109:O111"/>
    <mergeCell ref="D115:O117"/>
    <mergeCell ref="D121:O123"/>
    <mergeCell ref="U52:U53"/>
    <mergeCell ref="U2:Y4"/>
    <mergeCell ref="S131:T131"/>
    <mergeCell ref="S134:T134"/>
    <mergeCell ref="S137:T137"/>
    <mergeCell ref="S140:T140"/>
    <mergeCell ref="S133:T133"/>
    <mergeCell ref="S136:T136"/>
    <mergeCell ref="U55:U57"/>
    <mergeCell ref="U59:U60"/>
    <mergeCell ref="S127:T127"/>
    <mergeCell ref="S128:T128"/>
    <mergeCell ref="S130:T130"/>
    <mergeCell ref="C2:P2"/>
    <mergeCell ref="S146:T146"/>
    <mergeCell ref="S139:T139"/>
    <mergeCell ref="S142:T142"/>
    <mergeCell ref="S145:T145"/>
    <mergeCell ref="S143:T143"/>
    <mergeCell ref="D7:O9"/>
    <mergeCell ref="D11:O12"/>
    <mergeCell ref="D36:O38"/>
    <mergeCell ref="D31:O33"/>
    <mergeCell ref="D26:O28"/>
    <mergeCell ref="D16:O18"/>
    <mergeCell ref="D21:O23"/>
    <mergeCell ref="D13:O13"/>
    <mergeCell ref="D41:O43"/>
    <mergeCell ref="D61:O63"/>
  </mergeCells>
  <conditionalFormatting sqref="B2:Q2">
    <cfRule type="expression" dxfId="13" priority="1">
      <formula>$T$3=0</formula>
    </cfRule>
  </conditionalFormatting>
  <conditionalFormatting sqref="B3:Q191">
    <cfRule type="expression" dxfId="12" priority="2">
      <formula>$T$3=0</formula>
    </cfRule>
  </conditionalFormatting>
  <conditionalFormatting sqref="C64:P64 C70:P70 C76:P76 C82:P82 C88:P88 C94:P94 C100:P100 C106:P106 C112:P112 C118:P118">
    <cfRule type="expression" dxfId="11" priority="4">
      <formula>$R65=1</formula>
    </cfRule>
  </conditionalFormatting>
  <conditionalFormatting sqref="C65:P65 C71:P71 C77:P77 C83:P83 C89:P89 C95:P95 C101:P101 C107:P107 C113:P113 C119:P119">
    <cfRule type="expression" dxfId="10" priority="3">
      <formula>$R65=1</formula>
    </cfRule>
  </conditionalFormatting>
  <conditionalFormatting sqref="D3 O3 D5 D190 O190">
    <cfRule type="expression" dxfId="9" priority="35">
      <formula>$A$1="A255255255"</formula>
    </cfRule>
    <cfRule type="expression" dxfId="8" priority="36">
      <formula>$A$1="A000000000"</formula>
    </cfRule>
  </conditionalFormatting>
  <conditionalFormatting sqref="D13:O13">
    <cfRule type="expression" dxfId="7" priority="5">
      <formula>OR($Q$212=2,$Q$212=3)</formula>
    </cfRule>
  </conditionalFormatting>
  <conditionalFormatting sqref="N15:O15 N20:O20 N25:O25 N30:O30 N35:O35 N40:O40 N45:O45 N50:O50 N55:O55 N60:O60 N66:O66 N72:O72 N78:O78 N84:O84 N90:O90 N96:O96 N102:O102 N108:O108 N114:O114 N120:O120">
    <cfRule type="expression" dxfId="6" priority="25">
      <formula>$T19&lt;&gt;0</formula>
    </cfRule>
  </conditionalFormatting>
  <dataValidations count="1">
    <dataValidation type="list" allowBlank="1" showInputMessage="1" showErrorMessage="1" sqref="N15 N90 N20 N25 N30 N35 N40 N45 N50 N55 N60 N66 N72 N78 N84 N96 N102 N108 N114 N120" xr:uid="{9367EE48-11E3-4CE9-8544-2FA09E9A3AF3}">
      <formula1>$S$12:$S$13</formula1>
    </dataValidation>
  </dataValidations>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8">
    <tabColor rgb="FF0050A0"/>
  </sheetPr>
  <dimension ref="A1:AH153"/>
  <sheetViews>
    <sheetView showRowColHeaders="0" zoomScaleNormal="100" workbookViewId="0"/>
  </sheetViews>
  <sheetFormatPr defaultColWidth="9.140625" defaultRowHeight="15" x14ac:dyDescent="0.25"/>
  <cols>
    <col min="1" max="4" width="2.7109375" style="44" customWidth="1"/>
    <col min="5" max="14" width="9.7109375" style="44" customWidth="1"/>
    <col min="15" max="17" width="2.7109375" style="44" customWidth="1"/>
    <col min="18" max="18" width="4.7109375" style="44" hidden="1" customWidth="1"/>
    <col min="19" max="19" width="4.7109375" style="217" customWidth="1"/>
    <col min="20" max="26" width="8.7109375" style="44" customWidth="1"/>
    <col min="27" max="16384" width="9.140625" style="44"/>
  </cols>
  <sheetData>
    <row r="1" spans="1:24" ht="15" customHeight="1" x14ac:dyDescent="0.25">
      <c r="A1" s="93" t="str">
        <f>Voorblad!A1</f>
        <v>A255255255</v>
      </c>
      <c r="B1" s="93" t="str">
        <f>Voorblad!B1</f>
        <v>B000080160</v>
      </c>
      <c r="C1" s="93" t="str">
        <f>Voorblad!C1</f>
        <v>C150200250</v>
      </c>
      <c r="D1" s="93" t="str">
        <f>Voorblad!D1</f>
        <v>D000080160</v>
      </c>
      <c r="E1" s="93" t="str">
        <f>Voorblad!E1</f>
        <v>E000080160</v>
      </c>
      <c r="S1" s="44"/>
    </row>
    <row r="2" spans="1:24" ht="15" customHeight="1" x14ac:dyDescent="0.25">
      <c r="B2" s="17"/>
      <c r="C2" s="1044"/>
      <c r="D2" s="1044"/>
      <c r="E2" s="1044"/>
      <c r="F2" s="1044"/>
      <c r="G2" s="1044"/>
      <c r="H2" s="1044"/>
      <c r="I2" s="1044"/>
      <c r="J2" s="1044"/>
      <c r="K2" s="1044"/>
      <c r="L2" s="1044"/>
      <c r="M2" s="1044"/>
      <c r="N2" s="1044"/>
      <c r="O2" s="1044"/>
      <c r="P2" s="1044"/>
      <c r="Q2" s="17"/>
      <c r="R2" s="72"/>
      <c r="T2" s="1033" t="str">
        <f ca="1">Taal01!$B$43</f>
        <v>Deelnamecode</v>
      </c>
      <c r="U2" s="1033"/>
      <c r="V2" s="1033"/>
      <c r="W2" s="1033"/>
      <c r="X2" s="1033"/>
    </row>
    <row r="3" spans="1:24" ht="15" customHeight="1" x14ac:dyDescent="0.25">
      <c r="B3" s="17"/>
      <c r="C3" s="974"/>
      <c r="D3" s="1264" t="str">
        <f ca="1">Taal04!$B$159</f>
        <v>De Deelnamecode</v>
      </c>
      <c r="E3" s="1264"/>
      <c r="F3" s="1264"/>
      <c r="G3" s="989"/>
      <c r="H3" s="989"/>
      <c r="I3" s="989"/>
      <c r="J3" s="989"/>
      <c r="K3" s="989"/>
      <c r="L3" s="989"/>
      <c r="M3" s="989"/>
      <c r="N3" s="989"/>
      <c r="O3" s="990" t="str">
        <f ca="1">IF(Reglement!M3="","",Reglement!M3)</f>
        <v>EURO 2024: Jamilo EK-pool</v>
      </c>
      <c r="P3" s="978"/>
      <c r="Q3" s="17"/>
      <c r="R3" s="72"/>
      <c r="T3" s="1033"/>
      <c r="U3" s="1033"/>
      <c r="V3" s="1033"/>
      <c r="W3" s="1033"/>
      <c r="X3" s="1033"/>
    </row>
    <row r="4" spans="1:24" ht="15" customHeight="1" x14ac:dyDescent="0.25">
      <c r="B4" s="17"/>
      <c r="C4" s="12"/>
      <c r="D4" s="12"/>
      <c r="E4" s="12"/>
      <c r="F4" s="12"/>
      <c r="G4" s="12"/>
      <c r="H4" s="12"/>
      <c r="I4" s="12"/>
      <c r="J4" s="12"/>
      <c r="K4" s="12"/>
      <c r="L4" s="12"/>
      <c r="M4" s="12"/>
      <c r="N4" s="12"/>
      <c r="O4" s="12"/>
      <c r="P4" s="12"/>
      <c r="Q4" s="17"/>
      <c r="R4" s="72"/>
      <c r="T4" s="1033"/>
      <c r="U4" s="1033"/>
      <c r="V4" s="1033"/>
      <c r="W4" s="1033"/>
      <c r="X4" s="1033"/>
    </row>
    <row r="5" spans="1:24" ht="15" customHeight="1" x14ac:dyDescent="0.25">
      <c r="B5" s="17"/>
      <c r="C5" s="974"/>
      <c r="D5" s="989" t="str">
        <f ca="1">Taal04!$B$160</f>
        <v>Controle Onderdelen</v>
      </c>
      <c r="E5" s="989"/>
      <c r="F5" s="989"/>
      <c r="G5" s="989"/>
      <c r="H5" s="989"/>
      <c r="I5" s="989"/>
      <c r="J5" s="989"/>
      <c r="K5" s="989"/>
      <c r="L5" s="989"/>
      <c r="M5" s="989"/>
      <c r="N5" s="989"/>
      <c r="O5" s="989"/>
      <c r="P5" s="978"/>
      <c r="Q5" s="17"/>
      <c r="R5" s="72"/>
      <c r="S5" s="44"/>
    </row>
    <row r="6" spans="1:24" ht="15" customHeight="1" x14ac:dyDescent="0.25">
      <c r="B6" s="17"/>
      <c r="C6" s="947"/>
      <c r="D6" s="1069"/>
      <c r="E6" s="1069"/>
      <c r="F6" s="1069"/>
      <c r="G6" s="1069"/>
      <c r="H6" s="1069"/>
      <c r="I6" s="1069"/>
      <c r="J6" s="1069"/>
      <c r="K6" s="1069"/>
      <c r="L6" s="1069"/>
      <c r="M6" s="1069"/>
      <c r="N6" s="1069"/>
      <c r="O6" s="1069"/>
      <c r="P6" s="948"/>
      <c r="Q6" s="17"/>
      <c r="R6" s="72"/>
      <c r="S6" s="44"/>
    </row>
    <row r="7" spans="1:24" ht="15" customHeight="1" x14ac:dyDescent="0.25">
      <c r="B7" s="17"/>
      <c r="C7" s="949"/>
      <c r="D7" s="1260" t="str">
        <f t="shared" ref="D7:D29" ca="1" si="0">VLOOKUP(R7,$B$63:$D$116,3)</f>
        <v>LEGE REGEL</v>
      </c>
      <c r="E7" s="1260"/>
      <c r="F7" s="1260"/>
      <c r="G7" s="1260"/>
      <c r="H7" s="1260"/>
      <c r="I7" s="1260"/>
      <c r="J7" s="1260"/>
      <c r="K7" s="1260"/>
      <c r="L7" s="1260"/>
      <c r="M7" s="1260"/>
      <c r="N7" s="1260"/>
      <c r="O7" s="1260"/>
      <c r="P7" s="1261"/>
      <c r="Q7" s="17"/>
      <c r="R7" s="301">
        <f t="shared" ref="R7:R33" ca="1" si="1">IF($P$123=27,MID($S$123,(ROW()-7)*3+1,3)/10,99.9)</f>
        <v>99.9</v>
      </c>
      <c r="S7" s="44"/>
    </row>
    <row r="8" spans="1:24" ht="15" customHeight="1" x14ac:dyDescent="0.25">
      <c r="B8" s="17"/>
      <c r="C8" s="949"/>
      <c r="D8" s="1260" t="str">
        <f t="shared" ca="1" si="0"/>
        <v>LEGE REGEL</v>
      </c>
      <c r="E8" s="1260"/>
      <c r="F8" s="1260"/>
      <c r="G8" s="1260"/>
      <c r="H8" s="1260"/>
      <c r="I8" s="1260"/>
      <c r="J8" s="1260"/>
      <c r="K8" s="1260"/>
      <c r="L8" s="1260"/>
      <c r="M8" s="1260"/>
      <c r="N8" s="1260"/>
      <c r="O8" s="1260"/>
      <c r="P8" s="1261"/>
      <c r="Q8" s="17"/>
      <c r="R8" s="301">
        <f t="shared" ca="1" si="1"/>
        <v>99.9</v>
      </c>
      <c r="S8" s="44"/>
    </row>
    <row r="9" spans="1:24" ht="15" customHeight="1" x14ac:dyDescent="0.25">
      <c r="B9" s="17"/>
      <c r="C9" s="949"/>
      <c r="D9" s="1260" t="str">
        <f t="shared" ca="1" si="0"/>
        <v>LEGE REGEL</v>
      </c>
      <c r="E9" s="1260"/>
      <c r="F9" s="1260"/>
      <c r="G9" s="1260"/>
      <c r="H9" s="1260"/>
      <c r="I9" s="1260"/>
      <c r="J9" s="1260"/>
      <c r="K9" s="1260"/>
      <c r="L9" s="1260"/>
      <c r="M9" s="1260"/>
      <c r="N9" s="1260"/>
      <c r="O9" s="1260"/>
      <c r="P9" s="1261"/>
      <c r="Q9" s="17"/>
      <c r="R9" s="301">
        <f t="shared" ca="1" si="1"/>
        <v>99.9</v>
      </c>
      <c r="S9" s="44"/>
    </row>
    <row r="10" spans="1:24" ht="15" customHeight="1" x14ac:dyDescent="0.25">
      <c r="B10" s="17"/>
      <c r="C10" s="949"/>
      <c r="D10" s="1260" t="str">
        <f t="shared" ca="1" si="0"/>
        <v>LEGE REGEL</v>
      </c>
      <c r="E10" s="1260"/>
      <c r="F10" s="1260"/>
      <c r="G10" s="1260"/>
      <c r="H10" s="1260"/>
      <c r="I10" s="1260"/>
      <c r="J10" s="1260"/>
      <c r="K10" s="1260"/>
      <c r="L10" s="1260"/>
      <c r="M10" s="1260"/>
      <c r="N10" s="1260"/>
      <c r="O10" s="1260"/>
      <c r="P10" s="1261"/>
      <c r="Q10" s="17"/>
      <c r="R10" s="301">
        <f t="shared" ca="1" si="1"/>
        <v>99.9</v>
      </c>
      <c r="S10" s="44"/>
    </row>
    <row r="11" spans="1:24" ht="15" customHeight="1" x14ac:dyDescent="0.25">
      <c r="B11" s="17"/>
      <c r="C11" s="949"/>
      <c r="D11" s="1260" t="str">
        <f t="shared" ca="1" si="0"/>
        <v>LEGE REGEL</v>
      </c>
      <c r="E11" s="1260"/>
      <c r="F11" s="1260"/>
      <c r="G11" s="1260"/>
      <c r="H11" s="1260"/>
      <c r="I11" s="1260"/>
      <c r="J11" s="1260"/>
      <c r="K11" s="1260"/>
      <c r="L11" s="1260"/>
      <c r="M11" s="1260"/>
      <c r="N11" s="1260"/>
      <c r="O11" s="1260"/>
      <c r="P11" s="1261"/>
      <c r="Q11" s="17"/>
      <c r="R11" s="301">
        <f t="shared" ca="1" si="1"/>
        <v>99.9</v>
      </c>
      <c r="S11" s="44"/>
    </row>
    <row r="12" spans="1:24" ht="15" customHeight="1" x14ac:dyDescent="0.25">
      <c r="B12" s="17"/>
      <c r="C12" s="949"/>
      <c r="D12" s="1260" t="str">
        <f t="shared" ca="1" si="0"/>
        <v>LEGE REGEL</v>
      </c>
      <c r="E12" s="1260"/>
      <c r="F12" s="1260"/>
      <c r="G12" s="1260"/>
      <c r="H12" s="1260"/>
      <c r="I12" s="1260"/>
      <c r="J12" s="1260"/>
      <c r="K12" s="1260"/>
      <c r="L12" s="1260"/>
      <c r="M12" s="1260"/>
      <c r="N12" s="1260"/>
      <c r="O12" s="1260"/>
      <c r="P12" s="1261"/>
      <c r="Q12" s="17"/>
      <c r="R12" s="301">
        <f t="shared" ca="1" si="1"/>
        <v>99.9</v>
      </c>
      <c r="S12" s="44"/>
    </row>
    <row r="13" spans="1:24" ht="15" customHeight="1" x14ac:dyDescent="0.25">
      <c r="B13" s="17"/>
      <c r="C13" s="949"/>
      <c r="D13" s="1260" t="str">
        <f t="shared" ca="1" si="0"/>
        <v>LEGE REGEL</v>
      </c>
      <c r="E13" s="1260"/>
      <c r="F13" s="1260"/>
      <c r="G13" s="1260"/>
      <c r="H13" s="1260"/>
      <c r="I13" s="1260"/>
      <c r="J13" s="1260"/>
      <c r="K13" s="1260"/>
      <c r="L13" s="1260"/>
      <c r="M13" s="1260"/>
      <c r="N13" s="1260"/>
      <c r="O13" s="1260"/>
      <c r="P13" s="1261"/>
      <c r="Q13" s="17"/>
      <c r="R13" s="301">
        <f t="shared" ca="1" si="1"/>
        <v>99.9</v>
      </c>
      <c r="S13" s="44"/>
    </row>
    <row r="14" spans="1:24" ht="15" customHeight="1" x14ac:dyDescent="0.25">
      <c r="B14" s="17"/>
      <c r="C14" s="949"/>
      <c r="D14" s="1260" t="str">
        <f t="shared" ca="1" si="0"/>
        <v>LEGE REGEL</v>
      </c>
      <c r="E14" s="1260"/>
      <c r="F14" s="1260"/>
      <c r="G14" s="1260"/>
      <c r="H14" s="1260"/>
      <c r="I14" s="1260"/>
      <c r="J14" s="1260"/>
      <c r="K14" s="1260"/>
      <c r="L14" s="1260"/>
      <c r="M14" s="1260"/>
      <c r="N14" s="1260"/>
      <c r="O14" s="1260"/>
      <c r="P14" s="1261"/>
      <c r="Q14" s="17"/>
      <c r="R14" s="301">
        <f t="shared" ca="1" si="1"/>
        <v>99.9</v>
      </c>
      <c r="S14" s="44"/>
    </row>
    <row r="15" spans="1:24" ht="15" customHeight="1" x14ac:dyDescent="0.25">
      <c r="B15" s="17"/>
      <c r="C15" s="949"/>
      <c r="D15" s="1260" t="str">
        <f t="shared" ca="1" si="0"/>
        <v>LEGE REGEL</v>
      </c>
      <c r="E15" s="1260"/>
      <c r="F15" s="1260"/>
      <c r="G15" s="1260"/>
      <c r="H15" s="1260"/>
      <c r="I15" s="1260"/>
      <c r="J15" s="1260"/>
      <c r="K15" s="1260"/>
      <c r="L15" s="1260"/>
      <c r="M15" s="1260"/>
      <c r="N15" s="1260"/>
      <c r="O15" s="1260"/>
      <c r="P15" s="1261"/>
      <c r="Q15" s="17"/>
      <c r="R15" s="301">
        <f t="shared" ca="1" si="1"/>
        <v>99.9</v>
      </c>
      <c r="S15" s="44"/>
    </row>
    <row r="16" spans="1:24" ht="15" customHeight="1" x14ac:dyDescent="0.25">
      <c r="B16" s="17"/>
      <c r="C16" s="949"/>
      <c r="D16" s="1260" t="str">
        <f t="shared" ca="1" si="0"/>
        <v>LEGE REGEL</v>
      </c>
      <c r="E16" s="1260"/>
      <c r="F16" s="1260"/>
      <c r="G16" s="1260"/>
      <c r="H16" s="1260"/>
      <c r="I16" s="1260"/>
      <c r="J16" s="1260"/>
      <c r="K16" s="1260"/>
      <c r="L16" s="1260"/>
      <c r="M16" s="1260"/>
      <c r="N16" s="1260"/>
      <c r="O16" s="1260"/>
      <c r="P16" s="1261"/>
      <c r="Q16" s="17"/>
      <c r="R16" s="301">
        <f t="shared" ca="1" si="1"/>
        <v>99.9</v>
      </c>
      <c r="S16" s="44"/>
    </row>
    <row r="17" spans="2:19" ht="15" customHeight="1" x14ac:dyDescent="0.25">
      <c r="B17" s="17"/>
      <c r="C17" s="949"/>
      <c r="D17" s="1260" t="str">
        <f t="shared" ca="1" si="0"/>
        <v>LEGE REGEL</v>
      </c>
      <c r="E17" s="1260"/>
      <c r="F17" s="1260"/>
      <c r="G17" s="1260"/>
      <c r="H17" s="1260"/>
      <c r="I17" s="1260"/>
      <c r="J17" s="1260"/>
      <c r="K17" s="1260"/>
      <c r="L17" s="1260"/>
      <c r="M17" s="1260"/>
      <c r="N17" s="1260"/>
      <c r="O17" s="1260"/>
      <c r="P17" s="1261"/>
      <c r="Q17" s="17"/>
      <c r="R17" s="301">
        <f t="shared" ca="1" si="1"/>
        <v>99.9</v>
      </c>
      <c r="S17" s="44"/>
    </row>
    <row r="18" spans="2:19" ht="15" customHeight="1" x14ac:dyDescent="0.25">
      <c r="B18" s="17"/>
      <c r="C18" s="949"/>
      <c r="D18" s="1260" t="str">
        <f t="shared" ca="1" si="0"/>
        <v>LEGE REGEL</v>
      </c>
      <c r="E18" s="1260"/>
      <c r="F18" s="1260"/>
      <c r="G18" s="1260"/>
      <c r="H18" s="1260"/>
      <c r="I18" s="1260"/>
      <c r="J18" s="1260"/>
      <c r="K18" s="1260"/>
      <c r="L18" s="1260"/>
      <c r="M18" s="1260"/>
      <c r="N18" s="1260"/>
      <c r="O18" s="1260"/>
      <c r="P18" s="1261"/>
      <c r="Q18" s="17"/>
      <c r="R18" s="301">
        <f t="shared" ca="1" si="1"/>
        <v>99.9</v>
      </c>
      <c r="S18" s="44"/>
    </row>
    <row r="19" spans="2:19" ht="15" customHeight="1" x14ac:dyDescent="0.25">
      <c r="B19" s="17"/>
      <c r="C19" s="949"/>
      <c r="D19" s="1260" t="str">
        <f t="shared" ca="1" si="0"/>
        <v>LEGE REGEL</v>
      </c>
      <c r="E19" s="1260"/>
      <c r="F19" s="1260"/>
      <c r="G19" s="1260"/>
      <c r="H19" s="1260"/>
      <c r="I19" s="1260"/>
      <c r="J19" s="1260"/>
      <c r="K19" s="1260"/>
      <c r="L19" s="1260"/>
      <c r="M19" s="1260"/>
      <c r="N19" s="1260"/>
      <c r="O19" s="1260"/>
      <c r="P19" s="1261"/>
      <c r="Q19" s="17"/>
      <c r="R19" s="301">
        <f t="shared" ca="1" si="1"/>
        <v>99.9</v>
      </c>
      <c r="S19" s="44"/>
    </row>
    <row r="20" spans="2:19" ht="15" customHeight="1" x14ac:dyDescent="0.25">
      <c r="B20" s="17"/>
      <c r="C20" s="949"/>
      <c r="D20" s="1260" t="str">
        <f t="shared" ca="1" si="0"/>
        <v>LEGE REGEL</v>
      </c>
      <c r="E20" s="1260"/>
      <c r="F20" s="1260"/>
      <c r="G20" s="1260"/>
      <c r="H20" s="1260"/>
      <c r="I20" s="1260"/>
      <c r="J20" s="1260"/>
      <c r="K20" s="1260"/>
      <c r="L20" s="1260"/>
      <c r="M20" s="1260"/>
      <c r="N20" s="1260"/>
      <c r="O20" s="1260"/>
      <c r="P20" s="1261"/>
      <c r="Q20" s="17"/>
      <c r="R20" s="301">
        <f t="shared" ca="1" si="1"/>
        <v>99.9</v>
      </c>
      <c r="S20" s="44"/>
    </row>
    <row r="21" spans="2:19" ht="15" customHeight="1" x14ac:dyDescent="0.25">
      <c r="B21" s="17"/>
      <c r="C21" s="949"/>
      <c r="D21" s="1260" t="str">
        <f t="shared" ca="1" si="0"/>
        <v>LEGE REGEL</v>
      </c>
      <c r="E21" s="1260"/>
      <c r="F21" s="1260"/>
      <c r="G21" s="1260"/>
      <c r="H21" s="1260"/>
      <c r="I21" s="1260"/>
      <c r="J21" s="1260"/>
      <c r="K21" s="1260"/>
      <c r="L21" s="1260"/>
      <c r="M21" s="1260"/>
      <c r="N21" s="1260"/>
      <c r="O21" s="1260"/>
      <c r="P21" s="1261"/>
      <c r="Q21" s="17"/>
      <c r="R21" s="301">
        <f t="shared" ca="1" si="1"/>
        <v>99.9</v>
      </c>
      <c r="S21" s="44"/>
    </row>
    <row r="22" spans="2:19" ht="15" customHeight="1" x14ac:dyDescent="0.25">
      <c r="B22" s="17"/>
      <c r="C22" s="964"/>
      <c r="D22" s="1260" t="str">
        <f t="shared" ca="1" si="0"/>
        <v>LEGE REGEL</v>
      </c>
      <c r="E22" s="1260"/>
      <c r="F22" s="1260"/>
      <c r="G22" s="1260"/>
      <c r="H22" s="1260"/>
      <c r="I22" s="1260"/>
      <c r="J22" s="1260"/>
      <c r="K22" s="1260"/>
      <c r="L22" s="1260"/>
      <c r="M22" s="1260"/>
      <c r="N22" s="1260"/>
      <c r="O22" s="1260"/>
      <c r="P22" s="1261"/>
      <c r="Q22" s="17"/>
      <c r="R22" s="301">
        <f t="shared" ca="1" si="1"/>
        <v>99.9</v>
      </c>
      <c r="S22" s="44"/>
    </row>
    <row r="23" spans="2:19" ht="15" customHeight="1" x14ac:dyDescent="0.25">
      <c r="B23" s="17"/>
      <c r="C23" s="964"/>
      <c r="D23" s="1260" t="str">
        <f t="shared" ca="1" si="0"/>
        <v>LEGE REGEL</v>
      </c>
      <c r="E23" s="1260"/>
      <c r="F23" s="1260"/>
      <c r="G23" s="1260"/>
      <c r="H23" s="1260"/>
      <c r="I23" s="1260"/>
      <c r="J23" s="1260"/>
      <c r="K23" s="1260"/>
      <c r="L23" s="1260"/>
      <c r="M23" s="1260"/>
      <c r="N23" s="1260"/>
      <c r="O23" s="1260"/>
      <c r="P23" s="1261"/>
      <c r="Q23" s="17"/>
      <c r="R23" s="301">
        <f t="shared" ca="1" si="1"/>
        <v>99.9</v>
      </c>
      <c r="S23" s="44"/>
    </row>
    <row r="24" spans="2:19" ht="15" customHeight="1" x14ac:dyDescent="0.25">
      <c r="B24" s="17"/>
      <c r="C24" s="964"/>
      <c r="D24" s="1260" t="str">
        <f t="shared" ca="1" si="0"/>
        <v>LEGE REGEL</v>
      </c>
      <c r="E24" s="1260"/>
      <c r="F24" s="1260"/>
      <c r="G24" s="1260"/>
      <c r="H24" s="1260"/>
      <c r="I24" s="1260"/>
      <c r="J24" s="1260"/>
      <c r="K24" s="1260"/>
      <c r="L24" s="1260"/>
      <c r="M24" s="1260"/>
      <c r="N24" s="1260"/>
      <c r="O24" s="1260"/>
      <c r="P24" s="1261"/>
      <c r="Q24" s="17"/>
      <c r="R24" s="301">
        <f t="shared" ca="1" si="1"/>
        <v>99.9</v>
      </c>
      <c r="S24" s="44"/>
    </row>
    <row r="25" spans="2:19" ht="15" customHeight="1" x14ac:dyDescent="0.25">
      <c r="B25" s="17"/>
      <c r="C25" s="964"/>
      <c r="D25" s="1260" t="str">
        <f t="shared" ca="1" si="0"/>
        <v>LEGE REGEL</v>
      </c>
      <c r="E25" s="1260"/>
      <c r="F25" s="1260"/>
      <c r="G25" s="1260"/>
      <c r="H25" s="1260"/>
      <c r="I25" s="1260"/>
      <c r="J25" s="1260"/>
      <c r="K25" s="1260"/>
      <c r="L25" s="1260"/>
      <c r="M25" s="1260"/>
      <c r="N25" s="1260"/>
      <c r="O25" s="1260"/>
      <c r="P25" s="1261"/>
      <c r="Q25" s="17"/>
      <c r="R25" s="301">
        <f t="shared" ca="1" si="1"/>
        <v>99.9</v>
      </c>
      <c r="S25" s="44"/>
    </row>
    <row r="26" spans="2:19" ht="15" customHeight="1" x14ac:dyDescent="0.25">
      <c r="B26" s="17"/>
      <c r="C26" s="964"/>
      <c r="D26" s="1260" t="str">
        <f t="shared" ca="1" si="0"/>
        <v>LEGE REGEL</v>
      </c>
      <c r="E26" s="1260"/>
      <c r="F26" s="1260"/>
      <c r="G26" s="1260"/>
      <c r="H26" s="1260"/>
      <c r="I26" s="1260"/>
      <c r="J26" s="1260"/>
      <c r="K26" s="1260"/>
      <c r="L26" s="1260"/>
      <c r="M26" s="1260"/>
      <c r="N26" s="1260"/>
      <c r="O26" s="1260"/>
      <c r="P26" s="1261"/>
      <c r="Q26" s="17"/>
      <c r="R26" s="301">
        <f t="shared" ca="1" si="1"/>
        <v>99.9</v>
      </c>
      <c r="S26" s="44"/>
    </row>
    <row r="27" spans="2:19" ht="15" customHeight="1" x14ac:dyDescent="0.25">
      <c r="B27" s="17"/>
      <c r="C27" s="964"/>
      <c r="D27" s="1260" t="str">
        <f t="shared" ca="1" si="0"/>
        <v>LEGE REGEL</v>
      </c>
      <c r="E27" s="1260"/>
      <c r="F27" s="1260"/>
      <c r="G27" s="1260"/>
      <c r="H27" s="1260"/>
      <c r="I27" s="1260"/>
      <c r="J27" s="1260"/>
      <c r="K27" s="1260"/>
      <c r="L27" s="1260"/>
      <c r="M27" s="1260"/>
      <c r="N27" s="1260"/>
      <c r="O27" s="1260"/>
      <c r="P27" s="1261"/>
      <c r="Q27" s="17"/>
      <c r="R27" s="301">
        <f t="shared" ca="1" si="1"/>
        <v>99.9</v>
      </c>
      <c r="S27" s="44"/>
    </row>
    <row r="28" spans="2:19" ht="15" customHeight="1" x14ac:dyDescent="0.25">
      <c r="B28" s="17"/>
      <c r="C28" s="964"/>
      <c r="D28" s="1260" t="str">
        <f t="shared" ca="1" si="0"/>
        <v>LEGE REGEL</v>
      </c>
      <c r="E28" s="1260"/>
      <c r="F28" s="1260"/>
      <c r="G28" s="1260"/>
      <c r="H28" s="1260"/>
      <c r="I28" s="1260"/>
      <c r="J28" s="1260"/>
      <c r="K28" s="1260"/>
      <c r="L28" s="1260"/>
      <c r="M28" s="1260"/>
      <c r="N28" s="1260"/>
      <c r="O28" s="1260"/>
      <c r="P28" s="1261"/>
      <c r="Q28" s="17"/>
      <c r="R28" s="301">
        <f t="shared" ca="1" si="1"/>
        <v>99.9</v>
      </c>
      <c r="S28" s="44"/>
    </row>
    <row r="29" spans="2:19" ht="15" customHeight="1" x14ac:dyDescent="0.25">
      <c r="B29" s="17"/>
      <c r="C29" s="964"/>
      <c r="D29" s="1260" t="str">
        <f t="shared" ca="1" si="0"/>
        <v>LEGE REGEL</v>
      </c>
      <c r="E29" s="1260"/>
      <c r="F29" s="1260"/>
      <c r="G29" s="1260"/>
      <c r="H29" s="1260"/>
      <c r="I29" s="1260"/>
      <c r="J29" s="1260"/>
      <c r="K29" s="1260"/>
      <c r="L29" s="1260"/>
      <c r="M29" s="1260"/>
      <c r="N29" s="1260"/>
      <c r="O29" s="1260"/>
      <c r="P29" s="1261"/>
      <c r="Q29" s="17"/>
      <c r="R29" s="301">
        <f t="shared" ca="1" si="1"/>
        <v>99.9</v>
      </c>
      <c r="S29" s="44"/>
    </row>
    <row r="30" spans="2:19" ht="15" customHeight="1" x14ac:dyDescent="0.25">
      <c r="B30" s="17"/>
      <c r="C30" s="964"/>
      <c r="D30" s="1260" t="str">
        <f t="shared" ref="D30:D33" ca="1" si="2">VLOOKUP(R30,$B$63:$D$116,3)</f>
        <v>LEGE REGEL</v>
      </c>
      <c r="E30" s="1260"/>
      <c r="F30" s="1260"/>
      <c r="G30" s="1260"/>
      <c r="H30" s="1260"/>
      <c r="I30" s="1260"/>
      <c r="J30" s="1260"/>
      <c r="K30" s="1260"/>
      <c r="L30" s="1260"/>
      <c r="M30" s="1260"/>
      <c r="N30" s="1260"/>
      <c r="O30" s="1260"/>
      <c r="P30" s="1261"/>
      <c r="Q30" s="17"/>
      <c r="R30" s="301">
        <f t="shared" ca="1" si="1"/>
        <v>99.9</v>
      </c>
      <c r="S30" s="44"/>
    </row>
    <row r="31" spans="2:19" ht="15" customHeight="1" x14ac:dyDescent="0.25">
      <c r="B31" s="17"/>
      <c r="C31" s="964"/>
      <c r="D31" s="1260" t="str">
        <f t="shared" ca="1" si="2"/>
        <v>LEGE REGEL</v>
      </c>
      <c r="E31" s="1260"/>
      <c r="F31" s="1260"/>
      <c r="G31" s="1260"/>
      <c r="H31" s="1260"/>
      <c r="I31" s="1260"/>
      <c r="J31" s="1260"/>
      <c r="K31" s="1260"/>
      <c r="L31" s="1260"/>
      <c r="M31" s="1260"/>
      <c r="N31" s="1260"/>
      <c r="O31" s="1260"/>
      <c r="P31" s="1261"/>
      <c r="Q31" s="17"/>
      <c r="R31" s="301">
        <f t="shared" ca="1" si="1"/>
        <v>99.9</v>
      </c>
      <c r="S31" s="44"/>
    </row>
    <row r="32" spans="2:19" ht="15" customHeight="1" x14ac:dyDescent="0.25">
      <c r="B32" s="17"/>
      <c r="C32" s="964"/>
      <c r="D32" s="1260" t="str">
        <f t="shared" ca="1" si="2"/>
        <v>LEGE REGEL</v>
      </c>
      <c r="E32" s="1260"/>
      <c r="F32" s="1260"/>
      <c r="G32" s="1260"/>
      <c r="H32" s="1260"/>
      <c r="I32" s="1260"/>
      <c r="J32" s="1260"/>
      <c r="K32" s="1260"/>
      <c r="L32" s="1260"/>
      <c r="M32" s="1260"/>
      <c r="N32" s="1260"/>
      <c r="O32" s="1260"/>
      <c r="P32" s="1261"/>
      <c r="Q32" s="17"/>
      <c r="R32" s="301">
        <f t="shared" ca="1" si="1"/>
        <v>99.9</v>
      </c>
      <c r="S32" s="44"/>
    </row>
    <row r="33" spans="2:19" ht="15" customHeight="1" x14ac:dyDescent="0.25">
      <c r="B33" s="17"/>
      <c r="C33" s="964"/>
      <c r="D33" s="1260" t="str">
        <f t="shared" ca="1" si="2"/>
        <v>LEGE REGEL</v>
      </c>
      <c r="E33" s="1260"/>
      <c r="F33" s="1260"/>
      <c r="G33" s="1260"/>
      <c r="H33" s="1260"/>
      <c r="I33" s="1260"/>
      <c r="J33" s="1260"/>
      <c r="K33" s="1260"/>
      <c r="L33" s="1260"/>
      <c r="M33" s="1260"/>
      <c r="N33" s="1260"/>
      <c r="O33" s="1260"/>
      <c r="P33" s="1261"/>
      <c r="Q33" s="17"/>
      <c r="R33" s="301">
        <f t="shared" ca="1" si="1"/>
        <v>99.9</v>
      </c>
      <c r="S33" s="44"/>
    </row>
    <row r="34" spans="2:19" ht="15" customHeight="1" x14ac:dyDescent="0.25">
      <c r="B34" s="17"/>
      <c r="C34" s="965"/>
      <c r="D34" s="520"/>
      <c r="E34" s="520"/>
      <c r="F34" s="520"/>
      <c r="G34" s="520"/>
      <c r="H34" s="520"/>
      <c r="I34" s="520"/>
      <c r="J34" s="520"/>
      <c r="K34" s="520"/>
      <c r="L34" s="520"/>
      <c r="M34" s="520"/>
      <c r="N34" s="520"/>
      <c r="O34" s="520"/>
      <c r="P34" s="966"/>
      <c r="Q34" s="17"/>
      <c r="R34" s="72"/>
      <c r="S34" s="44"/>
    </row>
    <row r="35" spans="2:19" ht="15" customHeight="1" x14ac:dyDescent="0.25">
      <c r="B35" s="17"/>
      <c r="C35" s="12"/>
      <c r="D35" s="12"/>
      <c r="E35" s="12"/>
      <c r="F35" s="12"/>
      <c r="G35" s="12"/>
      <c r="H35" s="12"/>
      <c r="I35" s="12"/>
      <c r="J35" s="12"/>
      <c r="K35" s="12"/>
      <c r="L35" s="12"/>
      <c r="M35" s="12"/>
      <c r="N35" s="12"/>
      <c r="O35" s="12"/>
      <c r="P35" s="12"/>
      <c r="Q35" s="17"/>
      <c r="R35" s="72"/>
      <c r="S35" s="44"/>
    </row>
    <row r="36" spans="2:19" ht="15" customHeight="1" x14ac:dyDescent="0.25">
      <c r="B36" s="17"/>
      <c r="C36" s="974"/>
      <c r="D36" s="989" t="str">
        <f ca="1">Taal04!$B$159</f>
        <v>De Deelnamecode</v>
      </c>
      <c r="E36" s="976"/>
      <c r="F36" s="976"/>
      <c r="G36" s="976"/>
      <c r="H36" s="976"/>
      <c r="I36" s="976"/>
      <c r="J36" s="976"/>
      <c r="K36" s="976"/>
      <c r="L36" s="976"/>
      <c r="M36" s="976"/>
      <c r="N36" s="976"/>
      <c r="O36" s="976"/>
      <c r="P36" s="978"/>
      <c r="Q36" s="17"/>
      <c r="R36" s="72"/>
      <c r="S36" s="44"/>
    </row>
    <row r="37" spans="2:19" ht="15" customHeight="1" x14ac:dyDescent="0.25">
      <c r="B37" s="17"/>
      <c r="C37" s="87"/>
      <c r="D37" s="55"/>
      <c r="E37" s="55"/>
      <c r="F37" s="55"/>
      <c r="G37" s="55"/>
      <c r="H37" s="55"/>
      <c r="I37" s="55"/>
      <c r="J37" s="55"/>
      <c r="K37" s="55"/>
      <c r="L37" s="55"/>
      <c r="M37" s="55"/>
      <c r="N37" s="55"/>
      <c r="O37" s="55"/>
      <c r="P37" s="366"/>
      <c r="Q37" s="17"/>
      <c r="R37" s="72"/>
      <c r="S37" s="44"/>
    </row>
    <row r="38" spans="2:19" ht="15" customHeight="1" x14ac:dyDescent="0.25">
      <c r="B38" s="17"/>
      <c r="C38" s="383"/>
      <c r="D38" s="15" t="str">
        <f ca="1">Taal04!$B$229</f>
        <v>In het onderstaande veld zal uw deelnamecode gegenereerd worden als alle velden volledig en goed zijn ingevuld.</v>
      </c>
      <c r="E38" s="15"/>
      <c r="F38" s="15"/>
      <c r="G38" s="15"/>
      <c r="H38" s="15"/>
      <c r="I38" s="15"/>
      <c r="J38" s="15"/>
      <c r="K38" s="15"/>
      <c r="L38" s="15"/>
      <c r="M38" s="15"/>
      <c r="N38" s="15"/>
      <c r="O38" s="15"/>
      <c r="P38" s="367"/>
      <c r="Q38" s="17"/>
      <c r="R38" s="72"/>
      <c r="S38" s="44"/>
    </row>
    <row r="39" spans="2:19" ht="15" customHeight="1" x14ac:dyDescent="0.25">
      <c r="B39" s="17"/>
      <c r="C39" s="383"/>
      <c r="D39" s="15"/>
      <c r="E39" s="15"/>
      <c r="F39" s="15"/>
      <c r="G39" s="15"/>
      <c r="H39" s="15"/>
      <c r="I39" s="15"/>
      <c r="J39" s="15"/>
      <c r="K39" s="15"/>
      <c r="L39" s="15"/>
      <c r="M39" s="15"/>
      <c r="N39" s="15"/>
      <c r="O39" s="15"/>
      <c r="P39" s="367"/>
      <c r="Q39" s="17"/>
      <c r="R39" s="72"/>
      <c r="S39" s="44"/>
    </row>
    <row r="40" spans="2:19" ht="15" customHeight="1" x14ac:dyDescent="0.25">
      <c r="B40" s="17"/>
      <c r="C40" s="383"/>
      <c r="D40" s="967"/>
      <c r="E40" s="1178" t="str">
        <f ca="1">IF(OR(F134=1,AF133=3),AB128,IF(X128=0,R129,IF(K126=1,B135,B128&amp;B129&amp;B130&amp;H130&amp;B131&amp;H131&amp;B132&amp;H132&amp;I130&amp;M130&amp;I131&amp;M131&amp;I132&amp;M132&amp;I133&amp;M133&amp;IF(AF133=0,"BETA",""))))</f>
        <v>|dh|20|11|22|21|02|01|13|01|21|02|21|30|20|21|01|12|21|21|00|12|12|12|12|30|12|02|03|10|20|20|40|11|21|12|02|23|DE.CH.HU.SC|ES.HR.IT.AL|GB.DK.RS.SI|FR.NL.AT.PL|BE.UA.SK.RO|PT.TR.CZ.GE|CHHR12|DEDK21|GBSK20|ESAT31|NLUA31|PTIT11|BERS21|FRTR10|ESDE11|PTNL22|GBHR21|BEFR12|DEPT21|FRGB21|DEFR11|FR||Eric#*Martens#*(Bisbee)23||e.martens@bisbee.nl19]</v>
      </c>
      <c r="F40" s="1178"/>
      <c r="G40" s="1178"/>
      <c r="H40" s="1178"/>
      <c r="I40" s="1178"/>
      <c r="J40" s="1178"/>
      <c r="K40" s="1178"/>
      <c r="L40" s="1178"/>
      <c r="M40" s="1178"/>
      <c r="N40" s="1178"/>
      <c r="O40" s="968"/>
      <c r="P40" s="367"/>
      <c r="Q40" s="17"/>
      <c r="R40" s="72"/>
      <c r="S40" s="44"/>
    </row>
    <row r="41" spans="2:19" ht="15" customHeight="1" x14ac:dyDescent="0.25">
      <c r="B41" s="17"/>
      <c r="C41" s="383"/>
      <c r="D41" s="969"/>
      <c r="E41" s="1181"/>
      <c r="F41" s="1181"/>
      <c r="G41" s="1181"/>
      <c r="H41" s="1181"/>
      <c r="I41" s="1181"/>
      <c r="J41" s="1181"/>
      <c r="K41" s="1181"/>
      <c r="L41" s="1181"/>
      <c r="M41" s="1181"/>
      <c r="N41" s="1181"/>
      <c r="O41" s="970"/>
      <c r="P41" s="367"/>
      <c r="Q41" s="17"/>
      <c r="R41" s="72"/>
      <c r="S41" s="44"/>
    </row>
    <row r="42" spans="2:19" ht="15" customHeight="1" x14ac:dyDescent="0.25">
      <c r="B42" s="17"/>
      <c r="C42" s="383"/>
      <c r="D42" s="969"/>
      <c r="E42" s="1181"/>
      <c r="F42" s="1181"/>
      <c r="G42" s="1181"/>
      <c r="H42" s="1181"/>
      <c r="I42" s="1181"/>
      <c r="J42" s="1181"/>
      <c r="K42" s="1181"/>
      <c r="L42" s="1181"/>
      <c r="M42" s="1181"/>
      <c r="N42" s="1181"/>
      <c r="O42" s="970"/>
      <c r="P42" s="367"/>
      <c r="Q42" s="17"/>
      <c r="R42" s="72"/>
      <c r="S42" s="44"/>
    </row>
    <row r="43" spans="2:19" ht="15" customHeight="1" x14ac:dyDescent="0.25">
      <c r="B43" s="17"/>
      <c r="C43" s="383"/>
      <c r="D43" s="969"/>
      <c r="E43" s="1181"/>
      <c r="F43" s="1181"/>
      <c r="G43" s="1181"/>
      <c r="H43" s="1181"/>
      <c r="I43" s="1181"/>
      <c r="J43" s="1181"/>
      <c r="K43" s="1181"/>
      <c r="L43" s="1181"/>
      <c r="M43" s="1181"/>
      <c r="N43" s="1181"/>
      <c r="O43" s="970"/>
      <c r="P43" s="367"/>
      <c r="Q43" s="17"/>
      <c r="R43" s="72"/>
      <c r="S43" s="44"/>
    </row>
    <row r="44" spans="2:19" ht="15" customHeight="1" x14ac:dyDescent="0.25">
      <c r="B44" s="17"/>
      <c r="C44" s="383"/>
      <c r="D44" s="969"/>
      <c r="E44" s="1181"/>
      <c r="F44" s="1181"/>
      <c r="G44" s="1181"/>
      <c r="H44" s="1181"/>
      <c r="I44" s="1181"/>
      <c r="J44" s="1181"/>
      <c r="K44" s="1181"/>
      <c r="L44" s="1181"/>
      <c r="M44" s="1181"/>
      <c r="N44" s="1181"/>
      <c r="O44" s="970"/>
      <c r="P44" s="367"/>
      <c r="Q44" s="17"/>
      <c r="R44" s="72"/>
      <c r="S44" s="44"/>
    </row>
    <row r="45" spans="2:19" ht="15" customHeight="1" x14ac:dyDescent="0.25">
      <c r="B45" s="17"/>
      <c r="C45" s="383"/>
      <c r="D45" s="971"/>
      <c r="E45" s="1184"/>
      <c r="F45" s="1184"/>
      <c r="G45" s="1184"/>
      <c r="H45" s="1184"/>
      <c r="I45" s="1184"/>
      <c r="J45" s="1184"/>
      <c r="K45" s="1184"/>
      <c r="L45" s="1184"/>
      <c r="M45" s="1184"/>
      <c r="N45" s="1184"/>
      <c r="O45" s="972"/>
      <c r="P45" s="367"/>
      <c r="Q45" s="17"/>
      <c r="R45" s="72"/>
      <c r="S45" s="44"/>
    </row>
    <row r="46" spans="2:19" ht="15" customHeight="1" x14ac:dyDescent="0.25">
      <c r="B46" s="17"/>
      <c r="C46" s="368"/>
      <c r="D46" s="56"/>
      <c r="E46" s="56"/>
      <c r="F46" s="56"/>
      <c r="G46" s="56"/>
      <c r="H46" s="56"/>
      <c r="I46" s="56"/>
      <c r="J46" s="56"/>
      <c r="K46" s="56"/>
      <c r="L46" s="56"/>
      <c r="M46" s="56"/>
      <c r="N46" s="56"/>
      <c r="O46" s="56"/>
      <c r="P46" s="369"/>
      <c r="Q46" s="17"/>
      <c r="R46" s="72"/>
      <c r="S46" s="44"/>
    </row>
    <row r="47" spans="2:19" ht="15" customHeight="1" x14ac:dyDescent="0.25">
      <c r="B47" s="17"/>
      <c r="C47" s="12"/>
      <c r="D47" s="12"/>
      <c r="E47" s="12"/>
      <c r="F47" s="12"/>
      <c r="G47" s="12"/>
      <c r="H47" s="12"/>
      <c r="I47" s="12"/>
      <c r="J47" s="12"/>
      <c r="K47" s="12"/>
      <c r="L47" s="12"/>
      <c r="M47" s="12"/>
      <c r="N47" s="12"/>
      <c r="O47" s="12"/>
      <c r="P47" s="12"/>
      <c r="Q47" s="17"/>
      <c r="R47" s="72"/>
      <c r="S47" s="44"/>
    </row>
    <row r="48" spans="2:19" ht="15" customHeight="1" x14ac:dyDescent="0.25">
      <c r="B48" s="17"/>
      <c r="C48" s="974"/>
      <c r="D48" s="1271" t="str">
        <f>IF(Reglement!D71="","",Reglement!D71)</f>
        <v>www.excel-pool.nl</v>
      </c>
      <c r="E48" s="1271"/>
      <c r="F48" s="1271"/>
      <c r="G48" s="1271"/>
      <c r="H48" s="1271"/>
      <c r="I48" s="1271"/>
      <c r="J48" s="992"/>
      <c r="K48" s="992"/>
      <c r="L48" s="992"/>
      <c r="M48" s="992"/>
      <c r="N48" s="992"/>
      <c r="O48" s="993" t="str">
        <f>IF(Reglement!M71="","",Reglement!M71)</f>
        <v>©2024 Eric de Jong v24.00dh</v>
      </c>
      <c r="P48" s="978"/>
      <c r="Q48" s="17"/>
      <c r="R48" s="72"/>
      <c r="S48" s="44"/>
    </row>
    <row r="49" spans="2:34" ht="15" customHeight="1" x14ac:dyDescent="0.25">
      <c r="B49" s="17"/>
      <c r="C49" s="16"/>
      <c r="D49" s="16"/>
      <c r="E49" s="16"/>
      <c r="F49" s="16"/>
      <c r="G49" s="16"/>
      <c r="H49" s="16"/>
      <c r="I49" s="16"/>
      <c r="J49" s="16"/>
      <c r="K49" s="16"/>
      <c r="L49" s="16"/>
      <c r="M49" s="16"/>
      <c r="N49" s="16"/>
      <c r="O49" s="16"/>
      <c r="P49" s="16"/>
      <c r="Q49" s="17"/>
      <c r="R49" s="72"/>
      <c r="S49" s="44"/>
    </row>
    <row r="50" spans="2:34" x14ac:dyDescent="0.25">
      <c r="B50" s="1075"/>
      <c r="C50" s="1075"/>
      <c r="D50" s="1075"/>
      <c r="E50" s="1075"/>
      <c r="F50" s="1075"/>
      <c r="G50" s="1075"/>
      <c r="H50" s="1075"/>
      <c r="I50" s="1075"/>
      <c r="J50" s="1075"/>
      <c r="K50" s="1075"/>
      <c r="L50" s="1075"/>
      <c r="M50" s="1075"/>
      <c r="N50" s="1075"/>
      <c r="O50" s="1075"/>
      <c r="P50" s="1075"/>
      <c r="Q50" s="1075"/>
      <c r="S50" s="44"/>
    </row>
    <row r="51" spans="2:34" hidden="1" x14ac:dyDescent="0.25">
      <c r="B51" s="276"/>
      <c r="C51" s="277" t="s">
        <v>300</v>
      </c>
      <c r="D51" s="276"/>
      <c r="E51" s="276"/>
      <c r="F51" s="276"/>
      <c r="G51" s="276"/>
      <c r="H51" s="276"/>
      <c r="I51" s="276"/>
      <c r="J51" s="276"/>
      <c r="K51" s="276"/>
      <c r="L51" s="276"/>
      <c r="M51" s="276"/>
      <c r="N51" s="276"/>
      <c r="O51" s="276"/>
      <c r="P51" s="276"/>
      <c r="Q51" s="276"/>
      <c r="R51" s="276"/>
      <c r="S51" s="268"/>
      <c r="T51" s="268"/>
      <c r="U51" s="268"/>
      <c r="V51" s="268"/>
      <c r="W51" s="268"/>
      <c r="X51" s="268"/>
      <c r="Y51" s="268"/>
      <c r="Z51" s="268"/>
      <c r="AA51" s="268"/>
      <c r="AB51" s="268"/>
      <c r="AC51" s="268"/>
      <c r="AD51" s="268"/>
      <c r="AE51" s="268"/>
      <c r="AF51" s="268"/>
      <c r="AG51" s="268"/>
      <c r="AH51" s="268"/>
    </row>
    <row r="52" spans="2:34" hidden="1" x14ac:dyDescent="0.25">
      <c r="B52" s="276"/>
      <c r="C52" s="282" t="s">
        <v>301</v>
      </c>
      <c r="D52" s="276"/>
      <c r="E52" s="276"/>
      <c r="F52" s="276"/>
      <c r="G52" s="276"/>
      <c r="H52" s="280" t="str">
        <f>LEFT(RIGHT(O48,2),1)</f>
        <v>d</v>
      </c>
      <c r="I52" s="276"/>
      <c r="J52" s="276"/>
      <c r="K52" s="276"/>
      <c r="L52" s="276"/>
      <c r="M52" s="276"/>
      <c r="N52" s="298" t="s">
        <v>324</v>
      </c>
      <c r="O52" s="1273" t="s">
        <v>66</v>
      </c>
      <c r="P52" s="1273"/>
      <c r="Q52" s="1273"/>
      <c r="R52" s="276"/>
      <c r="S52" s="268"/>
      <c r="T52" s="1283" t="s">
        <v>474</v>
      </c>
      <c r="U52" s="717"/>
      <c r="V52" s="717"/>
      <c r="W52" s="717"/>
      <c r="X52" s="717"/>
      <c r="Y52" s="717"/>
      <c r="Z52" s="717"/>
      <c r="AA52" s="717"/>
      <c r="AB52" s="717"/>
      <c r="AC52" s="717"/>
      <c r="AD52" s="717"/>
      <c r="AE52" s="717"/>
      <c r="AF52" s="717"/>
      <c r="AG52" s="717"/>
      <c r="AH52" s="268"/>
    </row>
    <row r="53" spans="2:34" hidden="1" x14ac:dyDescent="0.25">
      <c r="B53" s="276"/>
      <c r="C53" s="282" t="s">
        <v>307</v>
      </c>
      <c r="D53" s="276"/>
      <c r="E53" s="276"/>
      <c r="F53" s="276"/>
      <c r="G53" s="276"/>
      <c r="H53" s="280" t="str">
        <f>IF(CODE($H$52)&lt;104,"JA","NEE")</f>
        <v>JA</v>
      </c>
      <c r="I53" s="276"/>
      <c r="J53" s="282" t="s">
        <v>308</v>
      </c>
      <c r="K53" s="276"/>
      <c r="L53" s="276"/>
      <c r="M53" s="276"/>
      <c r="N53" s="280" t="str">
        <f>IF(AND(H53="JA",H54="JA"),"G1e",IF(AND(H53="NEE",H54="JA"),"G2e","n.v.t."))</f>
        <v>G1e</v>
      </c>
      <c r="O53" s="1274" t="str">
        <f ca="1">IF(N53="G1e",Groepswedstrijden!AD16,IF(N53="G2e",#REF!,"n.v.t."))</f>
        <v>GOED</v>
      </c>
      <c r="P53" s="1274"/>
      <c r="Q53" s="1274"/>
      <c r="R53" s="276"/>
      <c r="S53" s="268"/>
      <c r="T53" s="1283"/>
      <c r="U53" s="806" t="s">
        <v>1163</v>
      </c>
      <c r="V53" s="717"/>
      <c r="W53" s="717"/>
      <c r="X53" s="717"/>
      <c r="Y53" s="717"/>
      <c r="Z53" s="1265" t="s">
        <v>1161</v>
      </c>
      <c r="AA53" s="1266"/>
      <c r="AB53" s="1266"/>
      <c r="AC53" s="1266"/>
      <c r="AD53" s="1265" t="s">
        <v>1162</v>
      </c>
      <c r="AE53" s="1266"/>
      <c r="AF53" s="1267"/>
      <c r="AG53" s="717"/>
      <c r="AH53" s="268"/>
    </row>
    <row r="54" spans="2:34" hidden="1" x14ac:dyDescent="0.25">
      <c r="B54" s="268"/>
      <c r="C54" s="281" t="s">
        <v>302</v>
      </c>
      <c r="D54" s="268"/>
      <c r="E54" s="268"/>
      <c r="F54" s="268"/>
      <c r="G54" s="268"/>
      <c r="H54" s="280" t="str">
        <f>IF(CODE($H$52)&lt;108,"JA","NEE")</f>
        <v>JA</v>
      </c>
      <c r="I54" s="268"/>
      <c r="J54" s="282" t="s">
        <v>309</v>
      </c>
      <c r="K54" s="276"/>
      <c r="L54" s="276"/>
      <c r="M54" s="276"/>
      <c r="N54" s="280" t="str">
        <f>IF(H55="JA","E1e","n.v.t.")</f>
        <v>E1e</v>
      </c>
      <c r="O54" s="1274" t="str">
        <f ca="1">IF(N54="E1e",'Eindstand Groep'!AA59,"n.v.t.")</f>
        <v>GOED</v>
      </c>
      <c r="P54" s="1274"/>
      <c r="Q54" s="1274"/>
      <c r="R54" s="268"/>
      <c r="S54" s="268"/>
      <c r="T54" s="1283"/>
      <c r="U54" s="717"/>
      <c r="V54" s="717"/>
      <c r="W54" s="717"/>
      <c r="X54" s="717"/>
      <c r="Y54" s="717"/>
      <c r="Z54" s="807" t="s">
        <v>1158</v>
      </c>
      <c r="AA54" s="810" t="s">
        <v>1159</v>
      </c>
      <c r="AB54" s="808" t="s">
        <v>1160</v>
      </c>
      <c r="AC54" s="810" t="s">
        <v>367</v>
      </c>
      <c r="AD54" s="808" t="s">
        <v>1158</v>
      </c>
      <c r="AE54" s="810" t="s">
        <v>1159</v>
      </c>
      <c r="AF54" s="809" t="s">
        <v>1160</v>
      </c>
      <c r="AG54" s="717"/>
      <c r="AH54" s="268"/>
    </row>
    <row r="55" spans="2:34" hidden="1" x14ac:dyDescent="0.25">
      <c r="B55" s="268"/>
      <c r="C55" s="281" t="s">
        <v>303</v>
      </c>
      <c r="D55" s="268"/>
      <c r="E55" s="268"/>
      <c r="F55" s="268"/>
      <c r="G55" s="268"/>
      <c r="H55" s="280" t="str">
        <f>IF(ISEVEN(CODE($H$52)),"JA","NEE")</f>
        <v>JA</v>
      </c>
      <c r="I55" s="268"/>
      <c r="J55" s="282" t="s">
        <v>310</v>
      </c>
      <c r="K55" s="276"/>
      <c r="L55" s="268"/>
      <c r="M55" s="268"/>
      <c r="N55" s="280" t="str">
        <f>IF(AND(H56="JA",H57="JA",H58="JA"),"F1e",IF(AND(H56="NEE",H57="JA",H58="JA"),"F2e",IF(AND(H56="NEE",H57="NEE",H58="JA"),"F3e","n.v.t.")))</f>
        <v>F1e</v>
      </c>
      <c r="O55" s="1274" t="str">
        <f ca="1">IF(N55="F1e",Finalewedstrijden!AP71,IF(N55="F2e",#REF!,IF(N55="F3e",#REF!,"n.v.t.")))</f>
        <v>GOED</v>
      </c>
      <c r="P55" s="1274"/>
      <c r="Q55" s="1274"/>
      <c r="R55" s="268"/>
      <c r="S55" s="268"/>
      <c r="T55" s="1283"/>
      <c r="U55" s="804" t="s">
        <v>1155</v>
      </c>
      <c r="V55" s="804"/>
      <c r="W55" s="804"/>
      <c r="X55" s="805" t="s">
        <v>69</v>
      </c>
      <c r="Y55" s="999">
        <v>6</v>
      </c>
      <c r="Z55" s="811">
        <f>Y55*12</f>
        <v>72</v>
      </c>
      <c r="AA55" s="812" t="s">
        <v>12</v>
      </c>
      <c r="AB55" s="813" t="s">
        <v>12</v>
      </c>
      <c r="AC55" s="812">
        <f>Y55*4</f>
        <v>24</v>
      </c>
      <c r="AD55" s="813">
        <f>Y55*4</f>
        <v>24</v>
      </c>
      <c r="AE55" s="812" t="s">
        <v>12</v>
      </c>
      <c r="AF55" s="814" t="s">
        <v>12</v>
      </c>
      <c r="AG55" s="717"/>
      <c r="AH55" s="268"/>
    </row>
    <row r="56" spans="2:34" hidden="1" x14ac:dyDescent="0.25">
      <c r="B56" s="268"/>
      <c r="C56" s="281" t="s">
        <v>304</v>
      </c>
      <c r="D56" s="281"/>
      <c r="E56" s="268"/>
      <c r="F56" s="268"/>
      <c r="G56" s="268"/>
      <c r="H56" s="280" t="str">
        <f>IF(OR(CODE($H$52)=100,CODE($H$52)=101),"JA","NEE")</f>
        <v>JA</v>
      </c>
      <c r="I56" s="268"/>
      <c r="J56" s="268"/>
      <c r="K56" s="276"/>
      <c r="L56" s="268"/>
      <c r="M56" s="268"/>
      <c r="N56" s="299" t="s">
        <v>325</v>
      </c>
      <c r="O56" s="1275" t="str">
        <f ca="1">IF(N54="E1e",IF(AND(O53="GOED",O54="GOED",O55="GOED"),"JA",IF(AND(O53="GOED",O55="GOED"),"JA","NEE")))</f>
        <v>JA</v>
      </c>
      <c r="P56" s="1275"/>
      <c r="Q56" s="1275"/>
      <c r="R56" s="268"/>
      <c r="S56" s="268"/>
      <c r="T56" s="1283"/>
      <c r="U56" s="804" t="s">
        <v>1154</v>
      </c>
      <c r="V56" s="804"/>
      <c r="W56" s="804"/>
      <c r="X56" s="805" t="s">
        <v>69</v>
      </c>
      <c r="Y56" s="780">
        <f>Y55*4</f>
        <v>24</v>
      </c>
      <c r="Z56" s="811" t="s">
        <v>12</v>
      </c>
      <c r="AA56" s="812" t="s">
        <v>12</v>
      </c>
      <c r="AB56" s="813" t="s">
        <v>12</v>
      </c>
      <c r="AC56" s="812" t="s">
        <v>12</v>
      </c>
      <c r="AD56" s="813" t="s">
        <v>12</v>
      </c>
      <c r="AE56" s="812" t="s">
        <v>12</v>
      </c>
      <c r="AF56" s="814" t="s">
        <v>12</v>
      </c>
      <c r="AG56" s="717"/>
      <c r="AH56" s="268"/>
    </row>
    <row r="57" spans="2:34" hidden="1" x14ac:dyDescent="0.25">
      <c r="B57" s="268"/>
      <c r="C57" s="281" t="s">
        <v>305</v>
      </c>
      <c r="D57" s="281"/>
      <c r="E57" s="268"/>
      <c r="F57" s="268"/>
      <c r="G57" s="268"/>
      <c r="H57" s="280" t="str">
        <f>IF(OR(CODE($H$52)=100,CODE($H$52)=101,CODE($H$52)=104,CODE($H$52)=105),"JA","NEE")</f>
        <v>JA</v>
      </c>
      <c r="I57" s="268"/>
      <c r="J57" s="268"/>
      <c r="K57" s="276"/>
      <c r="L57" s="268"/>
      <c r="M57" s="268"/>
      <c r="N57" s="268"/>
      <c r="O57" s="268"/>
      <c r="P57" s="268"/>
      <c r="Q57" s="268"/>
      <c r="R57" s="268"/>
      <c r="S57" s="268"/>
      <c r="T57" s="1283"/>
      <c r="U57" s="804" t="s">
        <v>1156</v>
      </c>
      <c r="V57" s="804"/>
      <c r="W57" s="804"/>
      <c r="X57" s="805" t="s">
        <v>69</v>
      </c>
      <c r="Y57" s="780">
        <f>Y55*6</f>
        <v>36</v>
      </c>
      <c r="Z57" s="811">
        <f>Y57*3+1</f>
        <v>109</v>
      </c>
      <c r="AA57" s="812">
        <f>Y57*2+1</f>
        <v>73</v>
      </c>
      <c r="AB57" s="813" t="s">
        <v>12</v>
      </c>
      <c r="AC57" s="812">
        <f>Y57*4+1</f>
        <v>145</v>
      </c>
      <c r="AD57" s="813">
        <f>Y57*2</f>
        <v>72</v>
      </c>
      <c r="AE57" s="812">
        <f>Y57</f>
        <v>36</v>
      </c>
      <c r="AF57" s="814" t="s">
        <v>12</v>
      </c>
      <c r="AG57" s="717"/>
      <c r="AH57" s="268"/>
    </row>
    <row r="58" spans="2:34" hidden="1" x14ac:dyDescent="0.25">
      <c r="B58" s="268"/>
      <c r="C58" s="281" t="s">
        <v>306</v>
      </c>
      <c r="D58" s="281"/>
      <c r="E58" s="268"/>
      <c r="F58" s="268"/>
      <c r="G58" s="268"/>
      <c r="H58" s="280" t="str">
        <f>IF(CODE($H$52)&lt;108,"JA","NEE")</f>
        <v>JA</v>
      </c>
      <c r="I58" s="268"/>
      <c r="J58" s="268"/>
      <c r="K58" s="276"/>
      <c r="L58" s="268"/>
      <c r="M58" s="268"/>
      <c r="N58" s="268"/>
      <c r="O58" s="268"/>
      <c r="P58" s="278"/>
      <c r="Q58" s="268"/>
      <c r="R58" s="268"/>
      <c r="S58" s="268"/>
      <c r="T58" s="1283"/>
      <c r="U58" s="804" t="s">
        <v>1157</v>
      </c>
      <c r="V58" s="804"/>
      <c r="W58" s="804"/>
      <c r="X58" s="805" t="s">
        <v>69</v>
      </c>
      <c r="Y58" s="780">
        <f>IF(Y55=6,15,16)</f>
        <v>15</v>
      </c>
      <c r="Z58" s="815">
        <f>Y58*7</f>
        <v>105</v>
      </c>
      <c r="AA58" s="816">
        <f>Y58*6</f>
        <v>90</v>
      </c>
      <c r="AB58" s="817">
        <f>Y58*5</f>
        <v>75</v>
      </c>
      <c r="AC58" s="816">
        <f>Y58*4</f>
        <v>60</v>
      </c>
      <c r="AD58" s="817">
        <f>Y58*4</f>
        <v>60</v>
      </c>
      <c r="AE58" s="816">
        <f>Y58*3</f>
        <v>45</v>
      </c>
      <c r="AF58" s="818">
        <f>Y58*2</f>
        <v>30</v>
      </c>
      <c r="AG58" s="717"/>
      <c r="AH58" s="268"/>
    </row>
    <row r="59" spans="2:34" hidden="1" x14ac:dyDescent="0.25">
      <c r="B59" s="268"/>
      <c r="C59" s="281" t="s">
        <v>99</v>
      </c>
      <c r="D59" s="281"/>
      <c r="E59" s="268"/>
      <c r="F59" s="268"/>
      <c r="G59" s="325" t="str">
        <f>RIGHT(O48,1)</f>
        <v>h</v>
      </c>
      <c r="H59" s="280" t="str">
        <f>IF(CODE($G$59)&lt;104,"JA","NEE")</f>
        <v>NEE</v>
      </c>
      <c r="I59" s="268"/>
      <c r="J59" s="282" t="s">
        <v>377</v>
      </c>
      <c r="K59" s="276"/>
      <c r="L59" s="268"/>
      <c r="M59" s="268"/>
      <c r="N59" s="280" t="str">
        <f>IF(H59="JA","B1e","n.v.t.")</f>
        <v>n.v.t.</v>
      </c>
      <c r="O59" s="1274" t="str">
        <f>IF(N59="B1e",#REF!,"n.v.t.")</f>
        <v>n.v.t.</v>
      </c>
      <c r="P59" s="1274"/>
      <c r="Q59" s="1274"/>
      <c r="R59" s="268"/>
      <c r="S59" s="268"/>
      <c r="T59" s="1283"/>
      <c r="U59" s="717"/>
      <c r="V59" s="717"/>
      <c r="W59" s="717"/>
      <c r="X59" s="717"/>
      <c r="Y59" s="717"/>
      <c r="Z59" s="717"/>
      <c r="AA59" s="717"/>
      <c r="AB59" s="717"/>
      <c r="AC59" s="717"/>
      <c r="AD59" s="717"/>
      <c r="AE59" s="717"/>
      <c r="AF59" s="717"/>
      <c r="AG59" s="717"/>
      <c r="AH59" s="268"/>
    </row>
    <row r="60" spans="2:34" hidden="1" x14ac:dyDescent="0.25">
      <c r="B60" s="268"/>
      <c r="C60" s="268"/>
      <c r="D60" s="268"/>
      <c r="E60" s="268"/>
      <c r="F60" s="268"/>
      <c r="G60" s="268"/>
      <c r="H60" s="279"/>
      <c r="I60" s="268"/>
      <c r="J60" s="268"/>
      <c r="K60" s="276"/>
      <c r="L60" s="268"/>
      <c r="M60" s="268"/>
      <c r="N60" s="268"/>
      <c r="O60" s="268"/>
      <c r="P60" s="279"/>
      <c r="Q60" s="268"/>
      <c r="R60" s="268"/>
      <c r="S60" s="268"/>
      <c r="T60" s="268"/>
      <c r="U60" s="268"/>
      <c r="V60" s="268"/>
      <c r="W60" s="268"/>
      <c r="X60" s="268"/>
      <c r="Y60" s="268"/>
      <c r="Z60" s="268"/>
      <c r="AA60" s="268"/>
      <c r="AB60" s="268"/>
      <c r="AC60" s="268"/>
      <c r="AD60" s="268"/>
      <c r="AE60" s="268"/>
      <c r="AF60" s="268"/>
      <c r="AG60" s="268"/>
      <c r="AH60" s="268"/>
    </row>
    <row r="61" spans="2:34" hidden="1" x14ac:dyDescent="0.25">
      <c r="B61" s="303"/>
      <c r="C61" s="303"/>
      <c r="D61" s="303"/>
      <c r="E61" s="303"/>
      <c r="F61" s="303"/>
      <c r="G61" s="303"/>
      <c r="H61" s="303"/>
      <c r="I61" s="303"/>
      <c r="J61" s="303"/>
      <c r="K61" s="303"/>
      <c r="L61" s="303"/>
      <c r="M61" s="303"/>
      <c r="N61" s="303"/>
      <c r="O61" s="72"/>
      <c r="P61" s="303"/>
      <c r="Q61" s="303"/>
      <c r="R61" s="303"/>
      <c r="S61" s="303"/>
      <c r="T61" s="304" t="s">
        <v>328</v>
      </c>
      <c r="U61" s="303"/>
      <c r="V61" s="303"/>
      <c r="W61" s="303"/>
      <c r="X61" s="303"/>
      <c r="Y61" s="303"/>
      <c r="Z61" s="303"/>
      <c r="AA61" s="303"/>
      <c r="AB61" s="303"/>
      <c r="AC61" s="303"/>
      <c r="AD61" s="304" t="s">
        <v>486</v>
      </c>
      <c r="AE61" s="303"/>
      <c r="AF61" s="303"/>
      <c r="AG61" s="303"/>
      <c r="AH61" s="303"/>
    </row>
    <row r="62" spans="2:34" hidden="1" x14ac:dyDescent="0.25">
      <c r="B62" s="303"/>
      <c r="C62" s="303"/>
      <c r="D62" s="303"/>
      <c r="E62" s="303"/>
      <c r="F62" s="303"/>
      <c r="G62" s="303"/>
      <c r="H62" s="303"/>
      <c r="I62" s="303"/>
      <c r="J62" s="303"/>
      <c r="K62" s="303"/>
      <c r="L62" s="303"/>
      <c r="M62" s="303"/>
      <c r="N62" s="303"/>
      <c r="O62" s="72"/>
      <c r="P62" s="303"/>
      <c r="Q62" s="303"/>
      <c r="R62" s="303"/>
      <c r="S62" s="305" t="s">
        <v>329</v>
      </c>
      <c r="T62" s="303" t="str">
        <f>IF($N$53="G1e",Groepswedstrijden!AA6,IF($N$53="G2e",#REF!,0))</f>
        <v>|Eric#*Martens#*(Bisbee)23</v>
      </c>
      <c r="U62" s="303"/>
      <c r="V62" s="303"/>
      <c r="W62" s="303"/>
      <c r="X62" s="303"/>
      <c r="Y62" s="303"/>
      <c r="Z62" s="306">
        <f>B63</f>
        <v>10</v>
      </c>
      <c r="AA62" s="303"/>
      <c r="AB62" s="303"/>
      <c r="AC62" s="305" t="s">
        <v>487</v>
      </c>
      <c r="AD62" s="303" t="str">
        <f>IF($N$53="G1e",Groepswedstrijden!AA88,IF($N$53="G2e",#REF!,0))</f>
        <v>|e.martens@bisbee.nl19</v>
      </c>
      <c r="AE62" s="303"/>
      <c r="AF62" s="303"/>
      <c r="AG62" s="303"/>
      <c r="AH62" s="303"/>
    </row>
    <row r="63" spans="2:34" hidden="1" x14ac:dyDescent="0.25">
      <c r="B63" s="1269">
        <v>10</v>
      </c>
      <c r="C63" s="1269"/>
      <c r="D63" s="302" t="str">
        <f ca="1">Taal04!$B$162&amp;":"</f>
        <v>Gegevens Deelnemer:</v>
      </c>
      <c r="E63" s="303"/>
      <c r="F63" s="303"/>
      <c r="G63" s="303"/>
      <c r="H63" s="303"/>
      <c r="I63" s="303"/>
      <c r="J63" s="303"/>
      <c r="K63" s="303"/>
      <c r="L63" s="303"/>
      <c r="M63" s="303"/>
      <c r="N63" s="303"/>
      <c r="O63" s="72"/>
      <c r="P63" s="303"/>
      <c r="Q63" s="303"/>
      <c r="R63" s="303"/>
      <c r="S63" s="305" t="s">
        <v>330</v>
      </c>
      <c r="T63" s="76" t="str">
        <f>IF($N$53="G1e",Groepswedstrijden!AA7,IF($N$53="G2e",#REF!,0))</f>
        <v>GOED</v>
      </c>
      <c r="U63" s="303"/>
      <c r="V63" s="303"/>
      <c r="W63" s="303"/>
      <c r="X63" s="303"/>
      <c r="Y63" s="303"/>
      <c r="Z63" s="306">
        <f>IF(AND(T66="GOED",AD66="GOED"),13,IF(AND(T66="GOED",AD66="LEEG",AD69="NEE"),13,IF(OR(T66="LEEG",AD66="LEEG"),11.1,12.1)))</f>
        <v>13</v>
      </c>
      <c r="AA63" s="303"/>
      <c r="AB63" s="303"/>
      <c r="AC63" s="305" t="s">
        <v>330</v>
      </c>
      <c r="AD63" s="76" t="str">
        <f>IF($N$53="G1e",Groepswedstrijden!AA89,IF($N$53="G2e",#REF!,0))</f>
        <v>GOED</v>
      </c>
      <c r="AE63" s="303"/>
      <c r="AF63" s="303"/>
      <c r="AG63" s="303"/>
      <c r="AH63" s="303"/>
    </row>
    <row r="64" spans="2:34" hidden="1" x14ac:dyDescent="0.25">
      <c r="B64" s="1272">
        <v>11.1</v>
      </c>
      <c r="C64" s="1272"/>
      <c r="D64" s="779" t="str">
        <f ca="1">IF(AND($AD$68="JA",$AD$69="JA"),IF(AND($AF$68="LEEG",$AF$69="LEEG"),AB76,IF($AF$68="LEEG",AB72,AB74)),AB72)</f>
        <v>Het generen van de naamcode is niet mogelijk in verband met het ontbreken van uw e-mailadres. Voer uw</v>
      </c>
      <c r="E64" s="303"/>
      <c r="F64" s="303"/>
      <c r="G64" s="303"/>
      <c r="H64" s="303"/>
      <c r="I64" s="303"/>
      <c r="J64" s="303"/>
      <c r="K64" s="303"/>
      <c r="L64" s="303"/>
      <c r="M64" s="303"/>
      <c r="N64" s="303"/>
      <c r="O64" s="72"/>
      <c r="P64" s="303"/>
      <c r="Q64" s="303"/>
      <c r="R64" s="303"/>
      <c r="S64" s="305" t="s">
        <v>332</v>
      </c>
      <c r="T64" s="76" t="str">
        <f>IF(CODE(RIGHT(T62,1))=35,LEFT(RIGHT(T62,2),1),RIGHT(T62,2))</f>
        <v>23</v>
      </c>
      <c r="U64" s="303"/>
      <c r="V64" s="303"/>
      <c r="W64" s="303"/>
      <c r="X64" s="303"/>
      <c r="Y64" s="303"/>
      <c r="Z64" s="303" t="str">
        <f>IF(Z63-FLOOR(Z63,1)&gt;0,Z63+0.1,"")</f>
        <v/>
      </c>
      <c r="AA64" s="303"/>
      <c r="AB64" s="303"/>
      <c r="AC64" s="305" t="s">
        <v>488</v>
      </c>
      <c r="AD64" s="76" t="str">
        <f>IF(CODE(RIGHT(AD62,1))=35,LEFT(RIGHT(AD62,2),1),RIGHT(AD62,2))</f>
        <v>19</v>
      </c>
      <c r="AE64" s="303"/>
      <c r="AF64" s="303"/>
      <c r="AG64" s="303"/>
      <c r="AH64" s="303"/>
    </row>
    <row r="65" spans="2:34" hidden="1" x14ac:dyDescent="0.25">
      <c r="B65" s="1272">
        <v>11.2</v>
      </c>
      <c r="C65" s="1272"/>
      <c r="D65" s="779" t="str">
        <f ca="1">IF(AND($AD$68="JA",$AD$69="JA"),IF(AND($AF$68="LEEG",$AF$69="LEEG"),AB77,IF($AF$68="LEEG",AB73,AB75)),AB73)</f>
        <v>e-mailadres in bovenaan het werkblad "Groepswedstrijden".</v>
      </c>
      <c r="E65" s="303"/>
      <c r="F65" s="303"/>
      <c r="G65" s="303"/>
      <c r="H65" s="303"/>
      <c r="I65" s="303"/>
      <c r="J65" s="303"/>
      <c r="K65" s="303"/>
      <c r="L65" s="303"/>
      <c r="M65" s="303"/>
      <c r="N65" s="303"/>
      <c r="O65" s="72"/>
      <c r="P65" s="303"/>
      <c r="Q65" s="303"/>
      <c r="R65" s="303"/>
      <c r="S65" s="305" t="s">
        <v>333</v>
      </c>
      <c r="T65" s="76" t="str">
        <f>IF(T64*1=0,"LEEG",IF(T64*1&gt;32,"LANG",IF(LEN(T62)=T64*1+3,"GOED","FOUT")))</f>
        <v>GOED</v>
      </c>
      <c r="U65" s="324" t="str">
        <f>T64+3&amp;" = goed / 0 = leeg"</f>
        <v>26 = goed / 0 = leeg</v>
      </c>
      <c r="V65" s="303"/>
      <c r="W65" s="303"/>
      <c r="X65" s="303"/>
      <c r="Y65" s="303"/>
      <c r="Z65" s="303"/>
      <c r="AA65" s="303"/>
      <c r="AB65" s="303"/>
      <c r="AC65" s="305" t="s">
        <v>333</v>
      </c>
      <c r="AD65" s="76" t="str">
        <f>IF(AD64*1=0,"LEEG",IF(AD64*1&gt;64,"LANG",IF(LEN(AD62)=AD64*1+3,"GOED","FOUT")))</f>
        <v>GOED</v>
      </c>
      <c r="AE65" s="324" t="str">
        <f>AD64+3&amp;" = goed / 0 = leeg"</f>
        <v>22 = goed / 0 = leeg</v>
      </c>
      <c r="AF65" s="303"/>
      <c r="AG65" s="303"/>
      <c r="AH65" s="303"/>
    </row>
    <row r="66" spans="2:34" hidden="1" x14ac:dyDescent="0.25">
      <c r="B66" s="1272">
        <v>12.1</v>
      </c>
      <c r="C66" s="1272"/>
      <c r="D66" s="779" t="str">
        <f ca="1">IF(AND($AF$68="FOUT",$AF$69="FOUT"),AB84,IF($AF$68="FOUT",AB80,AB82))</f>
        <v>Bij het genereren van de naamcode is er een fout geconstateerd. Controleer uw e-mailadres bovenaan het</v>
      </c>
      <c r="E66" s="303"/>
      <c r="F66" s="303"/>
      <c r="G66" s="303"/>
      <c r="H66" s="303"/>
      <c r="I66" s="303"/>
      <c r="J66" s="303"/>
      <c r="K66" s="303"/>
      <c r="L66" s="303"/>
      <c r="M66" s="303"/>
      <c r="N66" s="303"/>
      <c r="O66" s="72"/>
      <c r="P66" s="303"/>
      <c r="Q66" s="303"/>
      <c r="R66" s="303"/>
      <c r="S66" s="305" t="s">
        <v>334</v>
      </c>
      <c r="T66" s="76" t="str">
        <f>IF(AND(T63="GOED",T65="GOED"),"GOED",IF(AND(T63="LEEG",T65="LEEG"),"LEEG","FOUT"))</f>
        <v>GOED</v>
      </c>
      <c r="U66" s="303"/>
      <c r="V66" s="303"/>
      <c r="W66" s="303"/>
      <c r="X66" s="303"/>
      <c r="Y66" s="303"/>
      <c r="Z66" s="303"/>
      <c r="AA66" s="303"/>
      <c r="AB66" s="303"/>
      <c r="AC66" s="305" t="s">
        <v>334</v>
      </c>
      <c r="AD66" s="76" t="str">
        <f>IF(AND(AD63="GOED",AD65="GOED"),"GOED",IF(AND(OR(AD63="LEEG",AD63="OPTIE"),AD65="LEEG"),"LEEG","FOUT"))</f>
        <v>GOED</v>
      </c>
      <c r="AE66" s="303"/>
      <c r="AF66" s="303"/>
      <c r="AG66" s="303"/>
      <c r="AH66" s="303"/>
    </row>
    <row r="67" spans="2:34" hidden="1" x14ac:dyDescent="0.25">
      <c r="B67" s="1272">
        <v>12.2</v>
      </c>
      <c r="C67" s="1272"/>
      <c r="D67" s="779" t="str">
        <f ca="1">IF(AND($AF$68="FOUT",$AF$69="FOUT"),AB85,IF($AF$68="FOUT",AB81,AB83))</f>
        <v>werkblad "Groepswedstrijden".</v>
      </c>
      <c r="E67" s="303"/>
      <c r="F67" s="303"/>
      <c r="G67" s="303"/>
      <c r="H67" s="303"/>
      <c r="I67" s="303"/>
      <c r="J67" s="303"/>
      <c r="K67" s="303"/>
      <c r="L67" s="303"/>
      <c r="M67" s="303"/>
      <c r="N67" s="303"/>
      <c r="O67" s="72"/>
      <c r="P67" s="307"/>
      <c r="Q67" s="307"/>
      <c r="R67" s="307"/>
      <c r="S67" s="308"/>
      <c r="T67" s="307"/>
      <c r="U67" s="307"/>
      <c r="V67" s="307"/>
      <c r="W67" s="307"/>
      <c r="X67" s="307"/>
      <c r="Y67" s="307"/>
      <c r="Z67" s="309">
        <f>B116</f>
        <v>99.9</v>
      </c>
      <c r="AA67" s="72"/>
      <c r="AB67" s="72"/>
      <c r="AC67" s="72"/>
      <c r="AD67" s="72"/>
      <c r="AE67" s="72"/>
      <c r="AF67" s="72"/>
      <c r="AG67" s="72"/>
      <c r="AH67" s="72"/>
    </row>
    <row r="68" spans="2:34" hidden="1" x14ac:dyDescent="0.25">
      <c r="B68" s="1272">
        <v>13</v>
      </c>
      <c r="C68" s="1272"/>
      <c r="D68" s="779" t="str">
        <f ca="1">IF(AND($AF$68="GOED",$AF$69="GOED"),AB89,AB88)</f>
        <v>De naamcode inclusief e-mailadres is zonder foutmeldingen gegenereerd.</v>
      </c>
      <c r="E68" s="303"/>
      <c r="F68" s="303"/>
      <c r="G68" s="303"/>
      <c r="H68" s="303"/>
      <c r="I68" s="303"/>
      <c r="J68" s="303"/>
      <c r="K68" s="303"/>
      <c r="L68" s="303"/>
      <c r="M68" s="303"/>
      <c r="N68" s="303"/>
      <c r="O68" s="1281" t="s">
        <v>474</v>
      </c>
      <c r="P68" s="303"/>
      <c r="Q68" s="303"/>
      <c r="R68" s="303"/>
      <c r="S68" s="303"/>
      <c r="T68" s="304" t="s">
        <v>336</v>
      </c>
      <c r="U68" s="303"/>
      <c r="V68" s="303"/>
      <c r="W68" s="303"/>
      <c r="X68" s="303"/>
      <c r="Y68" s="303"/>
      <c r="Z68" s="303"/>
      <c r="AA68" s="72"/>
      <c r="AB68" s="303"/>
      <c r="AC68" s="305" t="s">
        <v>489</v>
      </c>
      <c r="AD68" s="302" t="s">
        <v>65</v>
      </c>
      <c r="AE68" s="518" t="s">
        <v>381</v>
      </c>
      <c r="AF68" s="303" t="str">
        <f>T66</f>
        <v>GOED</v>
      </c>
      <c r="AG68" s="516"/>
      <c r="AH68" s="516"/>
    </row>
    <row r="69" spans="2:34" hidden="1" x14ac:dyDescent="0.25">
      <c r="B69" s="1289"/>
      <c r="C69" s="1289"/>
      <c r="D69" s="516"/>
      <c r="E69" s="303"/>
      <c r="F69" s="303"/>
      <c r="G69" s="303"/>
      <c r="H69" s="303"/>
      <c r="I69" s="303"/>
      <c r="J69" s="303"/>
      <c r="K69" s="303"/>
      <c r="L69" s="303"/>
      <c r="M69" s="303"/>
      <c r="N69" s="303"/>
      <c r="O69" s="1281"/>
      <c r="P69" s="303"/>
      <c r="Q69" s="303"/>
      <c r="R69" s="303"/>
      <c r="S69" s="305" t="s">
        <v>338</v>
      </c>
      <c r="T69" s="303" t="str">
        <f ca="1">IF($N$53="G1e",Groepswedstrijden!Y11,IF($N$53="G2e",#REF!,0))</f>
        <v>|20|11|22|21|02|01|13|01|21|02|21|30|20|21|01|12|21|21|00|12|12|12|12|30|12|02|03|10|20|20|40|11|21|12|02|23|</v>
      </c>
      <c r="U69" s="303"/>
      <c r="V69" s="303"/>
      <c r="W69" s="303"/>
      <c r="X69" s="303"/>
      <c r="Y69" s="303"/>
      <c r="Z69" s="306">
        <v>20</v>
      </c>
      <c r="AA69" s="72"/>
      <c r="AB69" s="303"/>
      <c r="AC69" s="305" t="s">
        <v>483</v>
      </c>
      <c r="AD69" s="302" t="str">
        <f>IF(AND(Reglement!Q81=1,Reglement!H88="JA"),"JA","NEE")</f>
        <v>JA</v>
      </c>
      <c r="AE69" s="518" t="s">
        <v>381</v>
      </c>
      <c r="AF69" s="303" t="str">
        <f>IF(AND(AD69="NEE",AD66="LEEG"),"GOED",AD66)</f>
        <v>GOED</v>
      </c>
      <c r="AG69" s="516"/>
      <c r="AH69" s="516"/>
    </row>
    <row r="70" spans="2:34" hidden="1" x14ac:dyDescent="0.25">
      <c r="B70" s="1269">
        <v>20</v>
      </c>
      <c r="C70" s="1269"/>
      <c r="D70" s="302" t="str">
        <f ca="1">Taal04!$B$178&amp;":"</f>
        <v>Voorspellingen Groepswedstrijden:</v>
      </c>
      <c r="E70" s="303"/>
      <c r="F70" s="303"/>
      <c r="G70" s="303"/>
      <c r="H70" s="303"/>
      <c r="I70" s="303"/>
      <c r="J70" s="303"/>
      <c r="K70" s="303"/>
      <c r="L70" s="303"/>
      <c r="M70" s="303"/>
      <c r="N70" s="303"/>
      <c r="O70" s="1281"/>
      <c r="P70" s="303"/>
      <c r="Q70" s="303"/>
      <c r="R70" s="303"/>
      <c r="S70" s="305" t="s">
        <v>330</v>
      </c>
      <c r="T70" s="76" t="str">
        <f ca="1">IF(LEN(T69)=LEN(SUBSTITUTE(T69,"FOUT","controleren")),"GOED","FOUT")</f>
        <v>GOED</v>
      </c>
      <c r="U70" s="303"/>
      <c r="V70" s="303"/>
      <c r="W70" s="303"/>
      <c r="X70" s="303"/>
      <c r="Y70" s="303"/>
      <c r="Z70" s="306">
        <f ca="1">IF(T76="GOED",23,IF(T76="LEEG",21.1,IF(T76="FOUT",22.1,22.5)))</f>
        <v>23</v>
      </c>
      <c r="AA70" s="72"/>
      <c r="AB70" s="303"/>
      <c r="AC70" s="303"/>
      <c r="AD70" s="303"/>
      <c r="AE70" s="303"/>
      <c r="AF70" s="303"/>
      <c r="AG70" s="303"/>
      <c r="AH70" s="303"/>
    </row>
    <row r="71" spans="2:34" hidden="1" x14ac:dyDescent="0.25">
      <c r="B71" s="1268">
        <v>21.1</v>
      </c>
      <c r="C71" s="1268"/>
      <c r="D71" s="303" t="str">
        <f ca="1">Taal04!$B$179</f>
        <v>Het genereren van de deelnamecode voor de groepswedstrijden is niet mogelijk in verband met het ontbreken</v>
      </c>
      <c r="E71" s="303"/>
      <c r="F71" s="303"/>
      <c r="G71" s="303"/>
      <c r="H71" s="303"/>
      <c r="I71" s="303"/>
      <c r="J71" s="303"/>
      <c r="K71" s="303"/>
      <c r="L71" s="303"/>
      <c r="M71" s="303"/>
      <c r="N71" s="303"/>
      <c r="O71" s="1281"/>
      <c r="P71" s="303"/>
      <c r="Q71" s="303"/>
      <c r="R71" s="303"/>
      <c r="S71" s="305" t="s">
        <v>333</v>
      </c>
      <c r="T71" s="417" t="str">
        <f ca="1">IF($N$53="G1e",IF(LEN(T69)=$Z$57,"GOED",IF(LEN(T69)=$AC$57,"LEEG","FOUT")),IF($N$53="G2e",IF(LEN(T69)=$AA$57,"GOED",IF(LEN(T69)=$AC$57,"LEEG","FOUT")),"FOUT"))</f>
        <v>GOED</v>
      </c>
      <c r="U71" s="418" t="str">
        <f>"G1e: "&amp;$Z$57&amp;" = goed / G2e: "&amp;$AA$57&amp;" = goed / "&amp;$AC$57&amp;" = leeg"</f>
        <v>G1e: 109 = goed / G2e: 73 = goed / 145 = leeg</v>
      </c>
      <c r="V71" s="303"/>
      <c r="W71" s="303"/>
      <c r="X71" s="303"/>
      <c r="Y71" s="303"/>
      <c r="Z71" s="303" t="str">
        <f ca="1">IF(Z70-FLOOR(Z70,1)&gt;0,Z70+0.1,"")</f>
        <v/>
      </c>
      <c r="AA71" s="72"/>
      <c r="AB71" s="302" t="s">
        <v>511</v>
      </c>
      <c r="AC71" s="303"/>
      <c r="AD71" s="303"/>
      <c r="AE71" s="303"/>
      <c r="AF71" s="303"/>
      <c r="AG71" s="303"/>
      <c r="AH71" s="303"/>
    </row>
    <row r="72" spans="2:34" hidden="1" x14ac:dyDescent="0.25">
      <c r="B72" s="1268">
        <v>21.2</v>
      </c>
      <c r="C72" s="1268"/>
      <c r="D72" s="303" t="str">
        <f ca="1">Taal04!$B$180</f>
        <v>van gegevens. Controleer of alle velden zijn ingevuld op het werkblad "Groepswedstrijden".</v>
      </c>
      <c r="E72" s="303"/>
      <c r="F72" s="303"/>
      <c r="G72" s="303"/>
      <c r="H72" s="303"/>
      <c r="I72" s="303"/>
      <c r="J72" s="303"/>
      <c r="K72" s="303"/>
      <c r="L72" s="303"/>
      <c r="M72" s="303"/>
      <c r="N72" s="303"/>
      <c r="O72" s="1281"/>
      <c r="P72" s="303"/>
      <c r="Q72" s="303"/>
      <c r="R72" s="303"/>
      <c r="S72" s="305" t="s">
        <v>340</v>
      </c>
      <c r="T72" s="417">
        <f ca="1">IF($N$53="G1e",COUNTIF(Groepswedstrijden!Y25:AD60,"LEEG"),IF($N$53="G2e",COUNTIF(#REF!,"LEEG"),0))</f>
        <v>0</v>
      </c>
      <c r="U72" s="303"/>
      <c r="V72" s="303"/>
      <c r="W72" s="303"/>
      <c r="X72" s="303"/>
      <c r="Y72" s="303"/>
      <c r="Z72" s="303"/>
      <c r="AA72" s="72"/>
      <c r="AB72" s="517" t="str">
        <f ca="1">Taal04!$B$163</f>
        <v>Het generen van de naamcode is niet mogelijk in verband met het ontbreken van uw naam. Voer uw naam in</v>
      </c>
      <c r="AC72" s="303"/>
      <c r="AD72" s="303"/>
      <c r="AE72" s="303"/>
      <c r="AF72" s="303"/>
      <c r="AG72" s="303"/>
      <c r="AH72" s="303"/>
    </row>
    <row r="73" spans="2:34" hidden="1" x14ac:dyDescent="0.25">
      <c r="B73" s="1268">
        <v>22.1</v>
      </c>
      <c r="C73" s="1268"/>
      <c r="D73" s="303" t="str">
        <f ca="1">Taal04!$B$181</f>
        <v>Bij het genereren van de deelnamecode voor de groepswedstrijden is er een fout geconstateerd. Controleer uw</v>
      </c>
      <c r="E73" s="303"/>
      <c r="F73" s="303"/>
      <c r="G73" s="303"/>
      <c r="H73" s="303"/>
      <c r="I73" s="303"/>
      <c r="J73" s="303"/>
      <c r="K73" s="303"/>
      <c r="L73" s="303"/>
      <c r="M73" s="303"/>
      <c r="N73" s="303"/>
      <c r="O73" s="1281"/>
      <c r="P73" s="303"/>
      <c r="Q73" s="303"/>
      <c r="R73" s="303"/>
      <c r="S73" s="305" t="s">
        <v>342</v>
      </c>
      <c r="T73" s="417">
        <f ca="1">IF($N$53="G1e",COUNTIF(Groepswedstrijden!Y25:AD60,"HOOG"),IF($N$53="G2e",COUNTIF(#REF!,"HOOG"),0))</f>
        <v>0</v>
      </c>
      <c r="U73" s="303"/>
      <c r="V73" s="303"/>
      <c r="W73" s="303"/>
      <c r="X73" s="303"/>
      <c r="Y73" s="303"/>
      <c r="Z73" s="303"/>
      <c r="AA73" s="72"/>
      <c r="AB73" s="519" t="str">
        <f ca="1">Taal04!$B$164</f>
        <v>bovenaan het werkblad "Groepswedstrijden".</v>
      </c>
      <c r="AC73" s="303"/>
      <c r="AD73" s="303"/>
      <c r="AE73" s="303"/>
      <c r="AF73" s="303"/>
      <c r="AG73" s="303"/>
      <c r="AH73" s="303"/>
    </row>
    <row r="74" spans="2:34" hidden="1" x14ac:dyDescent="0.25">
      <c r="B74" s="1268">
        <v>22.2</v>
      </c>
      <c r="C74" s="1268"/>
      <c r="D74" s="303" t="str">
        <f ca="1">Taal04!$B$182</f>
        <v>invoer op het werkblad "Groepswedstrijden".</v>
      </c>
      <c r="E74" s="303"/>
      <c r="F74" s="303"/>
      <c r="G74" s="303"/>
      <c r="H74" s="303"/>
      <c r="I74" s="303"/>
      <c r="J74" s="303"/>
      <c r="K74" s="303"/>
      <c r="L74" s="303"/>
      <c r="M74" s="303"/>
      <c r="N74" s="303"/>
      <c r="O74" s="1281"/>
      <c r="P74" s="303"/>
      <c r="Q74" s="303"/>
      <c r="R74" s="303"/>
      <c r="S74" s="305" t="s">
        <v>343</v>
      </c>
      <c r="T74" s="417">
        <f ca="1">IF($N$53="G1e",COUNTIF(Groepswedstrijden!Y25:AD60,"ONGELDIG"),IF($N$53="G2e",COUNTIF(#REF!,"ONGELDIG"),0))</f>
        <v>0</v>
      </c>
      <c r="U74" s="303"/>
      <c r="V74" s="303"/>
      <c r="W74" s="303"/>
      <c r="X74" s="303"/>
      <c r="Y74" s="303"/>
      <c r="Z74" s="303"/>
      <c r="AA74" s="72"/>
      <c r="AB74" s="517" t="str">
        <f ca="1">Taal04!$B$165</f>
        <v>Het generen van de naamcode is niet mogelijk in verband met het ontbreken van uw e-mailadres. Voer uw</v>
      </c>
      <c r="AC74" s="303"/>
      <c r="AD74" s="303"/>
      <c r="AE74" s="303"/>
      <c r="AF74" s="303"/>
      <c r="AG74" s="303"/>
      <c r="AH74" s="303"/>
    </row>
    <row r="75" spans="2:34" hidden="1" x14ac:dyDescent="0.25">
      <c r="B75" s="1268">
        <v>22.5</v>
      </c>
      <c r="C75" s="1268"/>
      <c r="D75" s="303" t="str">
        <f ca="1">Taal04!$B$183</f>
        <v>Bij het genereren van de deelnamecode voor de groepswedstrijden zijn er fouten geconstateerd. Controleer uw</v>
      </c>
      <c r="E75" s="303"/>
      <c r="F75" s="303"/>
      <c r="G75" s="303"/>
      <c r="H75" s="303"/>
      <c r="I75" s="303"/>
      <c r="J75" s="303"/>
      <c r="K75" s="303"/>
      <c r="L75" s="303"/>
      <c r="M75" s="303"/>
      <c r="N75" s="303"/>
      <c r="O75" s="1281"/>
      <c r="P75" s="303"/>
      <c r="Q75" s="303"/>
      <c r="R75" s="303"/>
      <c r="S75" s="305" t="s">
        <v>344</v>
      </c>
      <c r="T75" s="417">
        <f ca="1">IF($N$53="G1e",COUNTIF(Groepswedstrijden!Y25:AD60,"GOED"),IF($N$53="G2e",COUNTIF(#REF!,"GOED"),0))</f>
        <v>72</v>
      </c>
      <c r="U75" s="418" t="str">
        <f>"G1e: "&amp;$AD$57&amp;" = goed / G2e: "&amp;$AE$57&amp;" = goed"</f>
        <v>G1e: 72 = goed / G2e: 36 = goed</v>
      </c>
      <c r="V75" s="303"/>
      <c r="W75" s="303"/>
      <c r="X75" s="303"/>
      <c r="Y75" s="303"/>
      <c r="Z75" s="303"/>
      <c r="AA75" s="72"/>
      <c r="AB75" s="519" t="str">
        <f ca="1">Taal04!$B$166</f>
        <v>e-mailadres in bovenaan het werkblad "Groepswedstrijden".</v>
      </c>
      <c r="AC75" s="303"/>
      <c r="AD75" s="303"/>
      <c r="AE75" s="303"/>
      <c r="AF75" s="303"/>
      <c r="AG75" s="303"/>
      <c r="AH75" s="303"/>
    </row>
    <row r="76" spans="2:34" hidden="1" x14ac:dyDescent="0.25">
      <c r="B76" s="1268">
        <v>22.6</v>
      </c>
      <c r="C76" s="1268"/>
      <c r="D76" s="303" t="str">
        <f ca="1">Taal04!$B$184</f>
        <v>invoer op het werkblad "Groepswedstrijden".</v>
      </c>
      <c r="E76" s="303"/>
      <c r="F76" s="303"/>
      <c r="G76" s="303"/>
      <c r="H76" s="303"/>
      <c r="I76" s="303"/>
      <c r="J76" s="303"/>
      <c r="K76" s="303"/>
      <c r="L76" s="303"/>
      <c r="M76" s="303"/>
      <c r="N76" s="303"/>
      <c r="O76" s="1281"/>
      <c r="P76" s="303"/>
      <c r="Q76" s="303"/>
      <c r="R76" s="303"/>
      <c r="S76" s="305" t="s">
        <v>334</v>
      </c>
      <c r="T76" s="417" t="str">
        <f ca="1">IF(AND(T70="GOED",T71="GOED",T72=0,T73=0,T74=0,IF($N$53="G1e",T75=$AD$57,IF($N$53="G2e",T75=$AE$57,0))),"GOED",IF(T72&gt;0,"LEEG",IF(T73+T74&lt;2,"FOUT","FOUTEN")))</f>
        <v>GOED</v>
      </c>
      <c r="U76" s="303"/>
      <c r="V76" s="303"/>
      <c r="W76" s="303"/>
      <c r="X76" s="303"/>
      <c r="Y76" s="303"/>
      <c r="Z76" s="303"/>
      <c r="AA76" s="72"/>
      <c r="AB76" s="517" t="str">
        <f ca="1">Taal04!$B$167</f>
        <v>Het generen van de naamcode incluslief e-mailadres is niet mogelijk in verband met het ontbreken van</v>
      </c>
      <c r="AC76" s="303"/>
      <c r="AD76" s="303"/>
      <c r="AE76" s="303"/>
      <c r="AF76" s="303"/>
      <c r="AG76" s="303"/>
      <c r="AH76" s="303"/>
    </row>
    <row r="77" spans="2:34" hidden="1" x14ac:dyDescent="0.25">
      <c r="B77" s="1268">
        <v>23</v>
      </c>
      <c r="C77" s="1268"/>
      <c r="D77" s="303" t="str">
        <f ca="1">Taal04!$B$185</f>
        <v>De deelnamecode voor de groepswedstrijden is zonder foutmeldingen gegenereerd.</v>
      </c>
      <c r="E77" s="303"/>
      <c r="F77" s="303"/>
      <c r="G77" s="303"/>
      <c r="H77" s="303"/>
      <c r="I77" s="303"/>
      <c r="J77" s="303"/>
      <c r="K77" s="303"/>
      <c r="L77" s="303"/>
      <c r="M77" s="303"/>
      <c r="N77" s="303"/>
      <c r="O77" s="72"/>
      <c r="P77" s="307"/>
      <c r="Q77" s="307"/>
      <c r="R77" s="307"/>
      <c r="S77" s="308"/>
      <c r="T77" s="307"/>
      <c r="U77" s="307"/>
      <c r="V77" s="307"/>
      <c r="W77" s="307"/>
      <c r="X77" s="307"/>
      <c r="Y77" s="307"/>
      <c r="Z77" s="310">
        <f>Z67</f>
        <v>99.9</v>
      </c>
      <c r="AA77" s="72"/>
      <c r="AB77" s="519" t="str">
        <f ca="1">Taal04!$B$168</f>
        <v>gegevens. Voer uw naam en e-mailadres in bovenaan het werkblad "Groepswedstrijden".</v>
      </c>
      <c r="AC77" s="303"/>
      <c r="AD77" s="303"/>
      <c r="AE77" s="303"/>
      <c r="AF77" s="303"/>
      <c r="AG77" s="303"/>
      <c r="AH77" s="303"/>
    </row>
    <row r="78" spans="2:34" hidden="1" x14ac:dyDescent="0.25">
      <c r="B78" s="1269">
        <v>25</v>
      </c>
      <c r="C78" s="1269"/>
      <c r="D78" s="302" t="str">
        <f ca="1">Taal04!$B$187&amp;":"</f>
        <v>Voorspellingen Eindstand in de Groep:</v>
      </c>
      <c r="E78" s="303"/>
      <c r="F78" s="303"/>
      <c r="G78" s="303"/>
      <c r="H78" s="303"/>
      <c r="I78" s="303"/>
      <c r="J78" s="303"/>
      <c r="K78" s="303"/>
      <c r="L78" s="303"/>
      <c r="M78" s="303"/>
      <c r="N78" s="303"/>
      <c r="O78" s="1281" t="s">
        <v>474</v>
      </c>
      <c r="P78" s="303"/>
      <c r="Q78" s="303"/>
      <c r="R78" s="303"/>
      <c r="S78" s="303"/>
      <c r="T78" s="304" t="s">
        <v>345</v>
      </c>
      <c r="U78" s="303"/>
      <c r="V78" s="303"/>
      <c r="W78" s="303"/>
      <c r="X78" s="303"/>
      <c r="Y78" s="303"/>
      <c r="Z78" s="303"/>
      <c r="AA78" s="72"/>
      <c r="AB78" s="303"/>
      <c r="AC78" s="303"/>
      <c r="AD78" s="303"/>
      <c r="AE78" s="303"/>
      <c r="AF78" s="303"/>
      <c r="AG78" s="303"/>
      <c r="AH78" s="303"/>
    </row>
    <row r="79" spans="2:34" hidden="1" x14ac:dyDescent="0.25">
      <c r="B79" s="1268">
        <v>26.1</v>
      </c>
      <c r="C79" s="1268"/>
      <c r="D79" s="303" t="str">
        <f ca="1">Taal04!$B$188</f>
        <v>Het genereren van de deelnamecode voor de eindstand in de groep is niet mogelijk in verband met het</v>
      </c>
      <c r="E79" s="303"/>
      <c r="F79" s="303"/>
      <c r="G79" s="303"/>
      <c r="H79" s="303"/>
      <c r="I79" s="303"/>
      <c r="J79" s="303"/>
      <c r="K79" s="303"/>
      <c r="L79" s="303"/>
      <c r="M79" s="303"/>
      <c r="N79" s="303"/>
      <c r="O79" s="1281"/>
      <c r="P79" s="303"/>
      <c r="Q79" s="303"/>
      <c r="R79" s="303"/>
      <c r="S79" s="305" t="s">
        <v>346</v>
      </c>
      <c r="T79" s="311" t="str">
        <f ca="1">IF($N$54="E1e",'Eindstand Groep'!X57,0)</f>
        <v>DE.CH.HU.SC|ES.HR.IT.AL|GB.DK.RS.SI|FR.NL.AT.PL|BE.UA.SK.RO|PT.TR.CZ.GE|</v>
      </c>
      <c r="U79" s="303"/>
      <c r="V79" s="303"/>
      <c r="W79" s="303"/>
      <c r="X79" s="303"/>
      <c r="Y79" s="303"/>
      <c r="Z79" s="306">
        <f ca="1">IF(T86="NVT","",25)</f>
        <v>25</v>
      </c>
      <c r="AA79" s="72"/>
      <c r="AB79" s="302" t="s">
        <v>512</v>
      </c>
      <c r="AC79" s="303"/>
      <c r="AD79" s="303"/>
      <c r="AE79" s="303"/>
      <c r="AF79" s="303"/>
      <c r="AG79" s="303"/>
      <c r="AH79" s="303"/>
    </row>
    <row r="80" spans="2:34" hidden="1" x14ac:dyDescent="0.25">
      <c r="B80" s="1268">
        <v>26.2</v>
      </c>
      <c r="C80" s="1268"/>
      <c r="D80" s="303" t="str">
        <f ca="1">Taal04!$B$189</f>
        <v>ontbreken van gegevens. Controleer of alle velden zijn ingevuld op het werkblad "Eindstand Groep".</v>
      </c>
      <c r="E80" s="303"/>
      <c r="F80" s="303"/>
      <c r="G80" s="303"/>
      <c r="H80" s="303"/>
      <c r="I80" s="303"/>
      <c r="J80" s="303"/>
      <c r="K80" s="303"/>
      <c r="L80" s="303"/>
      <c r="M80" s="303"/>
      <c r="N80" s="303"/>
      <c r="O80" s="1281"/>
      <c r="P80" s="303"/>
      <c r="Q80" s="303"/>
      <c r="R80" s="303"/>
      <c r="S80" s="305" t="s">
        <v>330</v>
      </c>
      <c r="T80" s="76" t="str">
        <f ca="1">IF(LEN(T79)=LEN(SUBSTITUTE(T79,"FOUT","controleren"))/2+LEN(SUBSTITUTE(T79,"ONGELDIG","controleren"))/2,"GOED","FOUT")</f>
        <v>GOED</v>
      </c>
      <c r="U80" s="303"/>
      <c r="V80" s="303"/>
      <c r="W80" s="303"/>
      <c r="X80" s="303"/>
      <c r="Y80" s="303"/>
      <c r="Z80" s="306">
        <f ca="1">IF(T86="NVT","",IF(T86="GOED",28,IF(T86="LEEG",26.1,IF(T86="FOUT",27.1,27.5))))</f>
        <v>28</v>
      </c>
      <c r="AA80" s="72"/>
      <c r="AB80" s="517" t="str">
        <f ca="1">Taal04!$B$169</f>
        <v>Bij het genereren van de naamcode is er een fout geconstateerd. Controleer uw naam bovenaan het</v>
      </c>
      <c r="AC80" s="303"/>
      <c r="AD80" s="303"/>
      <c r="AE80" s="303"/>
      <c r="AF80" s="303"/>
      <c r="AG80" s="303"/>
      <c r="AH80" s="303"/>
    </row>
    <row r="81" spans="2:34" hidden="1" x14ac:dyDescent="0.25">
      <c r="B81" s="1268">
        <v>27.1</v>
      </c>
      <c r="C81" s="1268"/>
      <c r="D81" s="303" t="str">
        <f ca="1">Taal04!$B$190</f>
        <v>Bij het genereren van de deelnamecode voor de eindstand in de groep is er een fout geconstateerd.</v>
      </c>
      <c r="E81" s="303"/>
      <c r="F81" s="303"/>
      <c r="G81" s="303"/>
      <c r="H81" s="303"/>
      <c r="I81" s="303"/>
      <c r="J81" s="303"/>
      <c r="K81" s="303"/>
      <c r="L81" s="303"/>
      <c r="M81" s="303"/>
      <c r="N81" s="303"/>
      <c r="O81" s="1281"/>
      <c r="P81" s="303"/>
      <c r="Q81" s="303"/>
      <c r="R81" s="303"/>
      <c r="S81" s="305" t="s">
        <v>333</v>
      </c>
      <c r="T81" s="417" t="str">
        <f ca="1">IF(LEN(T79)=$Z$55,"GOED",IF(LEN(T79)=$AC$55,"LEEG","FOUT"))</f>
        <v>GOED</v>
      </c>
      <c r="U81" s="418" t="str">
        <f>"E1e: "&amp;$Z$55&amp;" = goed / "&amp;$AD$55&amp;" = leeg"</f>
        <v>E1e: 72 = goed / 24 = leeg</v>
      </c>
      <c r="V81" s="303"/>
      <c r="W81" s="303"/>
      <c r="X81" s="303"/>
      <c r="Y81" s="303"/>
      <c r="Z81" s="303" t="str">
        <f ca="1">IF(T86="NVT","",IF(Z80-FLOOR(Z80,1)&gt;0,Z80+0.1,""))</f>
        <v/>
      </c>
      <c r="AA81" s="72"/>
      <c r="AB81" s="519" t="str">
        <f ca="1">Taal04!$B$170</f>
        <v>werkblad "Groepswedstrijden".</v>
      </c>
      <c r="AC81" s="303"/>
      <c r="AD81" s="303"/>
      <c r="AE81" s="303"/>
      <c r="AF81" s="303"/>
      <c r="AG81" s="303"/>
      <c r="AH81" s="303"/>
    </row>
    <row r="82" spans="2:34" hidden="1" x14ac:dyDescent="0.25">
      <c r="B82" s="1268">
        <v>27.2</v>
      </c>
      <c r="C82" s="1268"/>
      <c r="D82" s="303" t="str">
        <f ca="1">Taal04!$B$191</f>
        <v>Controleer uw invoer op het werkblad "Eindstand Groep".</v>
      </c>
      <c r="E82" s="303"/>
      <c r="F82" s="303"/>
      <c r="G82" s="303"/>
      <c r="H82" s="303"/>
      <c r="I82" s="303"/>
      <c r="J82" s="303"/>
      <c r="K82" s="303"/>
      <c r="L82" s="303"/>
      <c r="M82" s="303"/>
      <c r="N82" s="303"/>
      <c r="O82" s="1281"/>
      <c r="P82" s="303"/>
      <c r="Q82" s="303"/>
      <c r="R82" s="303"/>
      <c r="S82" s="305" t="s">
        <v>340</v>
      </c>
      <c r="T82" s="417">
        <f ca="1">IF($N$54="E1e",COUNTIF('Eindstand Groep'!Y15:Z54,"LEEG"),0)</f>
        <v>0</v>
      </c>
      <c r="U82" s="303"/>
      <c r="V82" s="303"/>
      <c r="W82" s="303"/>
      <c r="X82" s="303"/>
      <c r="Y82" s="303"/>
      <c r="Z82" s="303"/>
      <c r="AA82" s="72"/>
      <c r="AB82" s="517" t="str">
        <f ca="1">Taal04!$B$171</f>
        <v>Bij het genereren van de naamcode is er een fout geconstateerd. Controleer uw e-mailadres bovenaan het</v>
      </c>
      <c r="AC82" s="303"/>
      <c r="AD82" s="303"/>
      <c r="AE82" s="303"/>
      <c r="AF82" s="303"/>
      <c r="AG82" s="303"/>
      <c r="AH82" s="303"/>
    </row>
    <row r="83" spans="2:34" hidden="1" x14ac:dyDescent="0.25">
      <c r="B83" s="1268">
        <v>27.5</v>
      </c>
      <c r="C83" s="1268"/>
      <c r="D83" s="303" t="str">
        <f ca="1">Taal04!$B$192</f>
        <v>Bij het genereren van de deelnamecode voor de eindstand in de groep zijn er fouten geconstateerd.</v>
      </c>
      <c r="E83" s="303"/>
      <c r="F83" s="303"/>
      <c r="G83" s="303"/>
      <c r="H83" s="303"/>
      <c r="I83" s="303"/>
      <c r="J83" s="303"/>
      <c r="K83" s="303"/>
      <c r="L83" s="303"/>
      <c r="M83" s="303"/>
      <c r="N83" s="303"/>
      <c r="O83" s="1281"/>
      <c r="P83" s="303"/>
      <c r="Q83" s="303"/>
      <c r="R83" s="303"/>
      <c r="S83" s="305" t="s">
        <v>347</v>
      </c>
      <c r="T83" s="417">
        <f ca="1">IF($N$54="E1e",COUNTIF('Eindstand Groep'!Y15:Z54,"DUBBEL"),0)</f>
        <v>0</v>
      </c>
      <c r="U83" s="303"/>
      <c r="V83" s="303"/>
      <c r="W83" s="303"/>
      <c r="X83" s="303"/>
      <c r="Y83" s="303"/>
      <c r="Z83" s="303"/>
      <c r="AA83" s="72"/>
      <c r="AB83" s="519" t="str">
        <f ca="1">Taal04!$B$172</f>
        <v>werkblad "Groepswedstrijden".</v>
      </c>
      <c r="AC83" s="303"/>
      <c r="AD83" s="303"/>
      <c r="AE83" s="303"/>
      <c r="AF83" s="303"/>
      <c r="AG83" s="303"/>
      <c r="AH83" s="303"/>
    </row>
    <row r="84" spans="2:34" hidden="1" x14ac:dyDescent="0.25">
      <c r="B84" s="1268">
        <v>27.6</v>
      </c>
      <c r="C84" s="1268"/>
      <c r="D84" s="303" t="str">
        <f ca="1">Taal04!$B$193</f>
        <v>Controleer uw invoer op het werkblad "Eindstand Groep".</v>
      </c>
      <c r="E84" s="303"/>
      <c r="F84" s="303"/>
      <c r="G84" s="303"/>
      <c r="H84" s="303"/>
      <c r="I84" s="303"/>
      <c r="J84" s="303"/>
      <c r="K84" s="303"/>
      <c r="L84" s="303"/>
      <c r="M84" s="303"/>
      <c r="N84" s="303"/>
      <c r="O84" s="1281"/>
      <c r="P84" s="303"/>
      <c r="Q84" s="303"/>
      <c r="R84" s="303"/>
      <c r="S84" s="305" t="s">
        <v>343</v>
      </c>
      <c r="T84" s="417">
        <f ca="1">IF($N$54="E1e",COUNTIF('Eindstand Groep'!Y15:Z54,"ONGELDIG"),0)</f>
        <v>0</v>
      </c>
      <c r="U84" s="303"/>
      <c r="V84" s="303"/>
      <c r="W84" s="303"/>
      <c r="X84" s="303"/>
      <c r="Y84" s="303"/>
      <c r="Z84" s="303"/>
      <c r="AA84" s="72"/>
      <c r="AB84" s="517" t="str">
        <f ca="1">Taal04!$B$173</f>
        <v>Bij het genereren van de naamcode met e-mailadres is er een fout geconstateerd. Controleer uw naam en</v>
      </c>
      <c r="AC84" s="303"/>
      <c r="AD84" s="303"/>
      <c r="AE84" s="303"/>
      <c r="AF84" s="303"/>
      <c r="AG84" s="303"/>
      <c r="AH84" s="303"/>
    </row>
    <row r="85" spans="2:34" hidden="1" x14ac:dyDescent="0.25">
      <c r="B85" s="1268">
        <v>28</v>
      </c>
      <c r="C85" s="1268"/>
      <c r="D85" s="303" t="str">
        <f ca="1">Taal04!$B$194</f>
        <v>De deelnamecode voor de eindstand in de groep is zonder foutmeldingen gegenereerd.</v>
      </c>
      <c r="E85" s="303"/>
      <c r="F85" s="303"/>
      <c r="G85" s="303"/>
      <c r="H85" s="303"/>
      <c r="I85" s="303"/>
      <c r="J85" s="303"/>
      <c r="K85" s="303"/>
      <c r="L85" s="303"/>
      <c r="M85" s="303"/>
      <c r="N85" s="303"/>
      <c r="O85" s="1281"/>
      <c r="P85" s="303"/>
      <c r="Q85" s="303"/>
      <c r="R85" s="303"/>
      <c r="S85" s="305" t="s">
        <v>344</v>
      </c>
      <c r="T85" s="417">
        <f ca="1">IF($N$54="E1e",COUNTIF('Eindstand Groep'!Y15:Z54,"GOED"),0)</f>
        <v>24</v>
      </c>
      <c r="U85" s="418" t="str">
        <f>"E1e: "&amp;$AD$55&amp;" = goed"</f>
        <v>E1e: 24 = goed</v>
      </c>
      <c r="V85" s="303"/>
      <c r="W85" s="303"/>
      <c r="X85" s="303"/>
      <c r="Y85" s="303"/>
      <c r="Z85" s="303"/>
      <c r="AA85" s="72"/>
      <c r="AB85" s="519" t="str">
        <f ca="1">Taal04!$B$174</f>
        <v>e-mailadres bovenaan het werkblad "Groepswedstrijden".</v>
      </c>
      <c r="AC85" s="303"/>
      <c r="AD85" s="303"/>
      <c r="AE85" s="303"/>
      <c r="AF85" s="303"/>
      <c r="AG85" s="303"/>
      <c r="AH85" s="303"/>
    </row>
    <row r="86" spans="2:34" hidden="1" x14ac:dyDescent="0.25">
      <c r="B86" s="1269">
        <v>30</v>
      </c>
      <c r="C86" s="1269"/>
      <c r="D86" s="302" t="str">
        <f ca="1">Taal04!$B$196&amp;":"</f>
        <v>Voorspellingen Finalewedstrijden:</v>
      </c>
      <c r="E86" s="303"/>
      <c r="F86" s="303"/>
      <c r="G86" s="303"/>
      <c r="H86" s="303"/>
      <c r="I86" s="303"/>
      <c r="J86" s="303"/>
      <c r="K86" s="303"/>
      <c r="L86" s="303"/>
      <c r="M86" s="303"/>
      <c r="N86" s="303"/>
      <c r="O86" s="1281"/>
      <c r="P86" s="303"/>
      <c r="Q86" s="303"/>
      <c r="R86" s="303"/>
      <c r="S86" s="305" t="s">
        <v>334</v>
      </c>
      <c r="T86" s="417" t="str">
        <f ca="1">IF($H$55= "JA",IF(AND(T80="GOED",T81="GOED",T82=0,T83=0,T84=0,T85=$AD$55),"GOED",IF(T82&gt;0,"LEEG",IF(T83+T84&lt;2,"FOUT","FOUTEN"))),"NVT")</f>
        <v>GOED</v>
      </c>
      <c r="U86" s="303"/>
      <c r="V86" s="303"/>
      <c r="W86" s="303"/>
      <c r="X86" s="303"/>
      <c r="Y86" s="303"/>
      <c r="Z86" s="303"/>
      <c r="AA86" s="72"/>
      <c r="AB86" s="303"/>
      <c r="AC86" s="303"/>
      <c r="AD86" s="303"/>
      <c r="AE86" s="303"/>
      <c r="AF86" s="303"/>
      <c r="AG86" s="303"/>
      <c r="AH86" s="303"/>
    </row>
    <row r="87" spans="2:34" hidden="1" x14ac:dyDescent="0.25">
      <c r="B87" s="1268">
        <v>31.1</v>
      </c>
      <c r="C87" s="1268"/>
      <c r="D87" s="303" t="str">
        <f ca="1">Taal04!$B$197</f>
        <v>Het genereren van de deelnamecode voor de finalewedstrijden is niet mogelijk in verband met het ontbreken</v>
      </c>
      <c r="E87" s="303"/>
      <c r="F87" s="303"/>
      <c r="G87" s="303"/>
      <c r="H87" s="303"/>
      <c r="I87" s="303"/>
      <c r="J87" s="303"/>
      <c r="K87" s="303"/>
      <c r="L87" s="303"/>
      <c r="M87" s="303"/>
      <c r="N87" s="303"/>
      <c r="O87" s="72"/>
      <c r="P87" s="307"/>
      <c r="Q87" s="307"/>
      <c r="R87" s="307"/>
      <c r="S87" s="308"/>
      <c r="T87" s="307"/>
      <c r="U87" s="307"/>
      <c r="V87" s="307"/>
      <c r="W87" s="307"/>
      <c r="X87" s="307"/>
      <c r="Y87" s="307"/>
      <c r="Z87" s="310">
        <f ca="1">IF(T86="NVT","",Z67)</f>
        <v>99.9</v>
      </c>
      <c r="AA87" s="72"/>
      <c r="AB87" s="302" t="s">
        <v>513</v>
      </c>
      <c r="AC87" s="303"/>
      <c r="AD87" s="303"/>
      <c r="AE87" s="303"/>
      <c r="AF87" s="303"/>
      <c r="AG87" s="303"/>
      <c r="AH87" s="303"/>
    </row>
    <row r="88" spans="2:34" hidden="1" x14ac:dyDescent="0.25">
      <c r="B88" s="1268">
        <v>31.2</v>
      </c>
      <c r="C88" s="1268"/>
      <c r="D88" s="303" t="str">
        <f ca="1">Taal04!$B$198</f>
        <v>van gegevens. Controleer of alle velden zijn ingevuld op het werkblad "Finalewedstrijden".</v>
      </c>
      <c r="E88" s="303"/>
      <c r="F88" s="303"/>
      <c r="G88" s="303"/>
      <c r="H88" s="303"/>
      <c r="I88" s="303"/>
      <c r="J88" s="303"/>
      <c r="K88" s="303"/>
      <c r="L88" s="303"/>
      <c r="M88" s="303"/>
      <c r="N88" s="303"/>
      <c r="O88" s="1281" t="s">
        <v>474</v>
      </c>
      <c r="P88" s="303"/>
      <c r="Q88" s="303"/>
      <c r="R88" s="303"/>
      <c r="S88" s="303"/>
      <c r="T88" s="304" t="s">
        <v>350</v>
      </c>
      <c r="U88" s="303"/>
      <c r="V88" s="303"/>
      <c r="W88" s="303"/>
      <c r="X88" s="303"/>
      <c r="Y88" s="303"/>
      <c r="Z88" s="303"/>
      <c r="AA88" s="72"/>
      <c r="AB88" s="517" t="str">
        <f ca="1">Taal04!$B$175</f>
        <v>De naamcode is zonder foutmeldingen gegenereerd.</v>
      </c>
      <c r="AC88" s="303"/>
      <c r="AD88" s="303"/>
      <c r="AE88" s="303"/>
      <c r="AF88" s="303"/>
      <c r="AG88" s="303"/>
      <c r="AH88" s="303"/>
    </row>
    <row r="89" spans="2:34" hidden="1" x14ac:dyDescent="0.25">
      <c r="B89" s="1268">
        <v>32.1</v>
      </c>
      <c r="C89" s="1268"/>
      <c r="D89" s="303" t="str">
        <f ca="1">Taal04!$B$199</f>
        <v>Bij het genereren van de deelnamecode voor de finalewedstrijden is er een fout geconstateerd. Controleer uw</v>
      </c>
      <c r="E89" s="303"/>
      <c r="F89" s="303"/>
      <c r="G89" s="303"/>
      <c r="H89" s="303"/>
      <c r="I89" s="303"/>
      <c r="J89" s="303"/>
      <c r="K89" s="303"/>
      <c r="L89" s="303"/>
      <c r="M89" s="303"/>
      <c r="N89" s="303"/>
      <c r="O89" s="1281"/>
      <c r="P89" s="303"/>
      <c r="Q89" s="303"/>
      <c r="R89" s="303"/>
      <c r="S89" s="305" t="s">
        <v>352</v>
      </c>
      <c r="T89" s="303" t="str">
        <f ca="1">IF($N$55="F1e",Finalewedstrijden!AN71,IF($N$55="F2e",#REF!,IF($N$55="F3e",#REF!,0)))</f>
        <v>CHHR12|DEDK21|GBSK20|ESAT31|NLUA31|PTIT11|BERS21|FRTR10|ESDE11|PTNL22|GBHR21|BEFR12|DEPT21|FRGB21|DEFR11|</v>
      </c>
      <c r="U89" s="303"/>
      <c r="V89" s="303"/>
      <c r="W89" s="303"/>
      <c r="X89" s="303"/>
      <c r="Y89" s="303"/>
      <c r="Z89" s="306">
        <v>30</v>
      </c>
      <c r="AA89" s="72"/>
      <c r="AB89" s="517" t="str">
        <f ca="1">Taal04!$B$176</f>
        <v>De naamcode inclusief e-mailadres is zonder foutmeldingen gegenereerd.</v>
      </c>
      <c r="AC89" s="303"/>
      <c r="AD89" s="303"/>
      <c r="AE89" s="303"/>
      <c r="AF89" s="303"/>
      <c r="AG89" s="303"/>
      <c r="AH89" s="303"/>
    </row>
    <row r="90" spans="2:34" hidden="1" x14ac:dyDescent="0.25">
      <c r="B90" s="1268">
        <v>32.200000000000003</v>
      </c>
      <c r="C90" s="1268"/>
      <c r="D90" s="303" t="str">
        <f ca="1">Taal04!$B$200</f>
        <v>invoer op het werkblad "Finalewedstrijden".</v>
      </c>
      <c r="E90" s="303"/>
      <c r="F90" s="303"/>
      <c r="G90" s="303"/>
      <c r="H90" s="303"/>
      <c r="I90" s="303"/>
      <c r="J90" s="303"/>
      <c r="K90" s="303"/>
      <c r="L90" s="303"/>
      <c r="M90" s="303"/>
      <c r="N90" s="303"/>
      <c r="O90" s="1281"/>
      <c r="P90" s="303"/>
      <c r="Q90" s="303"/>
      <c r="R90" s="303"/>
      <c r="S90" s="305" t="s">
        <v>330</v>
      </c>
      <c r="T90" s="76" t="str">
        <f ca="1">IF(LEN(T89)=LEN(SUBSTITUTE(T89,"FOUT","ONGELDIG")),"GOED","FOUT")</f>
        <v>GOED</v>
      </c>
      <c r="U90" s="303"/>
      <c r="V90" s="303"/>
      <c r="W90" s="303"/>
      <c r="X90" s="303"/>
      <c r="Y90" s="303"/>
      <c r="Z90" s="306">
        <f ca="1">IF(T96="GOED",33,IF(T96="LEEG",31.1,IF(T96="FOUT",32.1,32.5)))</f>
        <v>33</v>
      </c>
      <c r="AA90" s="72"/>
      <c r="AB90" s="72"/>
      <c r="AC90" s="72"/>
      <c r="AD90" s="72"/>
      <c r="AE90" s="72"/>
      <c r="AF90" s="72"/>
      <c r="AG90" s="72"/>
      <c r="AH90" s="72"/>
    </row>
    <row r="91" spans="2:34" hidden="1" x14ac:dyDescent="0.25">
      <c r="B91" s="1268">
        <v>32.5</v>
      </c>
      <c r="C91" s="1268"/>
      <c r="D91" s="303" t="str">
        <f ca="1">Taal04!$B$201</f>
        <v>Bij het genereren van de deelnamecode voor de finalewedstrijden zijn er fouten geconstateerd. Controleer uw</v>
      </c>
      <c r="E91" s="303"/>
      <c r="F91" s="303"/>
      <c r="G91" s="303"/>
      <c r="H91" s="303"/>
      <c r="I91" s="303"/>
      <c r="J91" s="303"/>
      <c r="K91" s="303"/>
      <c r="L91" s="303"/>
      <c r="M91" s="303"/>
      <c r="N91" s="303"/>
      <c r="O91" s="1281"/>
      <c r="P91" s="303"/>
      <c r="Q91" s="303"/>
      <c r="R91" s="303"/>
      <c r="S91" s="305" t="s">
        <v>333</v>
      </c>
      <c r="T91" s="417" t="str">
        <f ca="1">IF($N$55="F1e",IF(LEN(T89)=$Z$58,"GOED",IF(LEN(T89)=$AC$58,"LEEG","FOUT")),IF($N$55="F2e",IF(LEN(T89)=$AA$58,"GOED",IF(LEN(T89)=$AC$58,"LEEG","FOUT")),IF($N$55="F3e",IF(LEN(T89)=$AB$58,"GOED",IF(LEN(T89)=$AC$58,"LEEG","FOUT")),"FOUT")))</f>
        <v>GOED</v>
      </c>
      <c r="U91" s="418" t="str">
        <f>"F1e: "&amp;$Z$58&amp;" = goed / F2e: "&amp;$AA$58&amp;" = goed / F3e: "&amp;$AB$58&amp;" = goed / "&amp;$AC$58&amp;" = leeg"</f>
        <v>F1e: 105 = goed / F2e: 90 = goed / F3e: 75 = goed / 60 = leeg</v>
      </c>
      <c r="V91" s="303"/>
      <c r="W91" s="303"/>
      <c r="X91" s="303"/>
      <c r="Y91" s="303"/>
      <c r="Z91" s="303" t="str">
        <f ca="1">IF(Z90-FLOOR(Z90,1)&gt;0,Z90+0.1,"")</f>
        <v/>
      </c>
      <c r="AA91" s="72"/>
      <c r="AB91" s="72"/>
      <c r="AC91" s="72"/>
      <c r="AD91" s="72"/>
      <c r="AE91" s="72"/>
      <c r="AF91" s="72"/>
      <c r="AG91" s="72"/>
      <c r="AH91" s="72"/>
    </row>
    <row r="92" spans="2:34" hidden="1" x14ac:dyDescent="0.25">
      <c r="B92" s="1268">
        <v>32.6</v>
      </c>
      <c r="C92" s="1268"/>
      <c r="D92" s="303" t="str">
        <f ca="1">Taal04!$B$202</f>
        <v>invoer op het werkblad "Finalewedstrijden".</v>
      </c>
      <c r="E92" s="303"/>
      <c r="F92" s="303"/>
      <c r="G92" s="303"/>
      <c r="H92" s="303"/>
      <c r="I92" s="303"/>
      <c r="J92" s="303"/>
      <c r="K92" s="303"/>
      <c r="L92" s="303"/>
      <c r="M92" s="303"/>
      <c r="N92" s="303"/>
      <c r="O92" s="1281"/>
      <c r="P92" s="303"/>
      <c r="Q92" s="303"/>
      <c r="R92" s="303"/>
      <c r="S92" s="305" t="s">
        <v>340</v>
      </c>
      <c r="T92" s="417">
        <f ca="1">IF($N$55="F1e",COUNTIF(Finalewedstrijden!AK14:AO56,"LEEG"),IF($N$55="F2e",COUNTIF(#REF!,"LEEG"),IF($N$55="F3e",COUNTIF(#REF!,"LEEG"),0)))</f>
        <v>0</v>
      </c>
      <c r="U92" s="303"/>
      <c r="V92" s="303"/>
      <c r="W92" s="303"/>
      <c r="X92" s="303"/>
      <c r="Y92" s="303"/>
      <c r="Z92" s="303"/>
      <c r="AA92" s="72"/>
      <c r="AB92" s="72"/>
      <c r="AC92" s="72"/>
      <c r="AD92" s="72"/>
      <c r="AE92" s="72"/>
      <c r="AF92" s="72"/>
      <c r="AG92" s="72"/>
      <c r="AH92" s="72"/>
    </row>
    <row r="93" spans="2:34" hidden="1" x14ac:dyDescent="0.25">
      <c r="B93" s="1268">
        <v>33</v>
      </c>
      <c r="C93" s="1268"/>
      <c r="D93" s="303" t="str">
        <f ca="1">Taal04!$B$203</f>
        <v>De deelnamecode voor de finalewedstrijden is zonder foutmeldingen gegenereerd.</v>
      </c>
      <c r="E93" s="303"/>
      <c r="F93" s="303"/>
      <c r="G93" s="303"/>
      <c r="H93" s="303"/>
      <c r="I93" s="303"/>
      <c r="J93" s="303"/>
      <c r="K93" s="303"/>
      <c r="L93" s="303"/>
      <c r="M93" s="303"/>
      <c r="N93" s="303"/>
      <c r="O93" s="1281"/>
      <c r="P93" s="303"/>
      <c r="Q93" s="303"/>
      <c r="R93" s="303"/>
      <c r="S93" s="305" t="s">
        <v>342</v>
      </c>
      <c r="T93" s="419">
        <f ca="1">IF($N$55="F1e",COUNTIF(Finalewedstrijden!AK14:AO56,"HOOG"),IF($N$55="F2e",COUNTIF(#REF!,"HOOG"),IF($N$55="F3e",COUNTIF(#REF!,"HOOG"),0)))</f>
        <v>0</v>
      </c>
      <c r="U93" s="303"/>
      <c r="V93" s="303"/>
      <c r="W93" s="303"/>
      <c r="X93" s="303"/>
      <c r="Y93" s="303"/>
      <c r="Z93" s="303"/>
      <c r="AA93" s="72"/>
      <c r="AB93" s="72"/>
      <c r="AC93" s="72"/>
      <c r="AD93" s="72"/>
      <c r="AE93" s="72"/>
      <c r="AF93" s="72"/>
      <c r="AG93" s="72"/>
      <c r="AH93" s="72"/>
    </row>
    <row r="94" spans="2:34" hidden="1" x14ac:dyDescent="0.25">
      <c r="B94" s="1269">
        <v>40</v>
      </c>
      <c r="C94" s="1269"/>
      <c r="D94" s="302" t="str">
        <f ca="1">Taal04!$B$205&amp;":"</f>
        <v>Voorspelling Winnaar EURO 2024:</v>
      </c>
      <c r="E94" s="303"/>
      <c r="F94" s="303"/>
      <c r="G94" s="303"/>
      <c r="H94" s="303"/>
      <c r="I94" s="303"/>
      <c r="J94" s="303"/>
      <c r="K94" s="303"/>
      <c r="L94" s="303"/>
      <c r="M94" s="303"/>
      <c r="N94" s="303"/>
      <c r="O94" s="1281"/>
      <c r="P94" s="303"/>
      <c r="Q94" s="303"/>
      <c r="R94" s="303"/>
      <c r="S94" s="305" t="s">
        <v>343</v>
      </c>
      <c r="T94" s="419">
        <f ca="1">IF($N$55="F1e",COUNTIF(Finalewedstrijden!AK14:AO56,"ONGELDIG"),IF($N$55="F2e",COUNTIF(#REF!,"ONGELDIG"),IF($N$55="F3e",COUNTIF(#REF!,"ONGELDIG"),0)))-IF(Z94="A",0,W94)</f>
        <v>0</v>
      </c>
      <c r="U94" s="303"/>
      <c r="V94" s="305" t="s">
        <v>347</v>
      </c>
      <c r="W94" s="419">
        <f ca="1">IF(Z94="A",0,IF($N$55="F1e",COUNTIF(Finalewedstrijden!AH15:AJ57,"DUBBEL"),IF($N$55="F2e",COUNTIF(#REF!,"DUBBEL"),IF($N$55="F3e",COUNTIF(#REF!,"DUBBEL"),0))))</f>
        <v>0</v>
      </c>
      <c r="X94" s="303"/>
      <c r="Y94" s="305" t="s">
        <v>1201</v>
      </c>
      <c r="Z94" s="76" t="str">
        <f>Reglement!$G$130</f>
        <v>B</v>
      </c>
      <c r="AA94" s="72"/>
      <c r="AB94" s="72"/>
      <c r="AC94" s="72"/>
      <c r="AD94" s="72"/>
      <c r="AE94" s="72"/>
      <c r="AF94" s="72"/>
      <c r="AG94" s="72"/>
      <c r="AH94" s="72"/>
    </row>
    <row r="95" spans="2:34" hidden="1" x14ac:dyDescent="0.25">
      <c r="B95" s="1268">
        <v>41.1</v>
      </c>
      <c r="C95" s="1268"/>
      <c r="D95" s="303" t="str">
        <f ca="1">Taal04!$B$206</f>
        <v>Het genereren van de deelnamecode voor de winnaar van het EK is niet mogelijk in verband met het ontbreken</v>
      </c>
      <c r="E95" s="303"/>
      <c r="F95" s="303"/>
      <c r="G95" s="303"/>
      <c r="H95" s="303"/>
      <c r="I95" s="303"/>
      <c r="J95" s="303"/>
      <c r="K95" s="303"/>
      <c r="L95" s="303"/>
      <c r="M95" s="303"/>
      <c r="N95" s="303"/>
      <c r="O95" s="1281"/>
      <c r="P95" s="303"/>
      <c r="Q95" s="303"/>
      <c r="R95" s="303"/>
      <c r="S95" s="305" t="s">
        <v>344</v>
      </c>
      <c r="T95" s="419">
        <f ca="1">IF($N$55="F1e",COUNTIF(Finalewedstrijden!AK14:AO56,"GOED"),IF($N$55="F2e",COUNTIF(#REF!,"GOED"),IF($N$55="F3e",COUNTIF(#REF!,"GOED"),0)))</f>
        <v>60</v>
      </c>
      <c r="U95" s="418" t="str">
        <f>"F1e: "&amp;$AD$58&amp;" = goed / F2e: "&amp;$AE$58&amp;" = goed / F3e: "&amp;$AF$58&amp;" = goed"</f>
        <v>F1e: 60 = goed / F2e: 45 = goed / F3e: 30 = goed</v>
      </c>
      <c r="V95" s="303"/>
      <c r="W95" s="303"/>
      <c r="X95" s="303"/>
      <c r="Y95" s="303"/>
      <c r="Z95" s="303"/>
      <c r="AA95" s="72"/>
      <c r="AB95" s="72"/>
      <c r="AC95" s="72"/>
      <c r="AD95" s="72"/>
      <c r="AE95" s="72"/>
      <c r="AF95" s="72"/>
      <c r="AG95" s="72"/>
      <c r="AH95" s="72"/>
    </row>
    <row r="96" spans="2:34" hidden="1" x14ac:dyDescent="0.25">
      <c r="B96" s="1268">
        <v>41.2</v>
      </c>
      <c r="C96" s="1268"/>
      <c r="D96" s="303" t="str">
        <f ca="1">Taal04!$B$207</f>
        <v>van gegevens. Voorspel de winnaar van het EK op het werkblad "Finalewedstrijden".</v>
      </c>
      <c r="E96" s="303"/>
      <c r="F96" s="303"/>
      <c r="G96" s="303"/>
      <c r="H96" s="303"/>
      <c r="I96" s="303"/>
      <c r="J96" s="303"/>
      <c r="K96" s="303"/>
      <c r="L96" s="303"/>
      <c r="M96" s="303"/>
      <c r="N96" s="303"/>
      <c r="O96" s="1281"/>
      <c r="P96" s="303"/>
      <c r="Q96" s="303"/>
      <c r="R96" s="303"/>
      <c r="S96" s="305" t="s">
        <v>334</v>
      </c>
      <c r="T96" s="417" t="str">
        <f ca="1">IF(AND(T90="GOED",T91="GOED",T92=0,T93=0,T94=0,W94=0,IF($N$55="F1e",T95=$AD$58,IF($N$55="F2e",T95=$AE$58,IF($N$55="F3e",T95=$AF$58,0)))),"GOED",IF(T92&gt;0,"LEEG",IF(T93+T94+W94&lt;2,"FOUT","FOUTEN")))</f>
        <v>GOED</v>
      </c>
      <c r="U96" s="303"/>
      <c r="V96" s="303"/>
      <c r="W96" s="303"/>
      <c r="X96" s="303"/>
      <c r="Y96" s="303"/>
      <c r="Z96" s="303"/>
      <c r="AA96" s="72"/>
      <c r="AB96" s="72"/>
      <c r="AC96" s="72"/>
      <c r="AD96" s="72"/>
      <c r="AE96" s="72"/>
      <c r="AF96" s="72"/>
      <c r="AG96" s="72"/>
      <c r="AH96" s="72"/>
    </row>
    <row r="97" spans="2:34" hidden="1" x14ac:dyDescent="0.25">
      <c r="B97" s="1268">
        <v>42.1</v>
      </c>
      <c r="C97" s="1268"/>
      <c r="D97" s="303" t="str">
        <f ca="1">Taal04!$B$208</f>
        <v>Bij het genereren van de deelnamecode voor de winnaar van het EK is er een fout geconstateerd. Controleer</v>
      </c>
      <c r="E97" s="303"/>
      <c r="F97" s="303"/>
      <c r="G97" s="303"/>
      <c r="H97" s="303"/>
      <c r="I97" s="303"/>
      <c r="J97" s="303"/>
      <c r="K97" s="303"/>
      <c r="L97" s="303"/>
      <c r="M97" s="303"/>
      <c r="N97" s="303"/>
      <c r="O97" s="72"/>
      <c r="P97" s="307"/>
      <c r="Q97" s="307"/>
      <c r="R97" s="307"/>
      <c r="S97" s="308"/>
      <c r="T97" s="307"/>
      <c r="U97" s="307"/>
      <c r="V97" s="307"/>
      <c r="W97" s="307"/>
      <c r="X97" s="307"/>
      <c r="Y97" s="307"/>
      <c r="Z97" s="310">
        <f>Z67</f>
        <v>99.9</v>
      </c>
      <c r="AA97" s="72"/>
      <c r="AB97" s="72"/>
      <c r="AC97" s="72"/>
      <c r="AD97" s="72"/>
      <c r="AE97" s="72"/>
      <c r="AF97" s="72"/>
      <c r="AG97" s="72"/>
      <c r="AH97" s="72"/>
    </row>
    <row r="98" spans="2:34" hidden="1" x14ac:dyDescent="0.25">
      <c r="B98" s="1268">
        <v>42.2</v>
      </c>
      <c r="C98" s="1268"/>
      <c r="D98" s="303" t="str">
        <f ca="1">Taal04!$B$209</f>
        <v>uw invoer op het werkblad "Finalewedstrijden".</v>
      </c>
      <c r="E98" s="303"/>
      <c r="F98" s="303"/>
      <c r="G98" s="303"/>
      <c r="H98" s="303"/>
      <c r="I98" s="303"/>
      <c r="J98" s="303"/>
      <c r="K98" s="303"/>
      <c r="L98" s="303"/>
      <c r="M98" s="303"/>
      <c r="N98" s="303"/>
      <c r="O98" s="72"/>
      <c r="P98" s="303"/>
      <c r="Q98" s="303"/>
      <c r="R98" s="303"/>
      <c r="S98" s="303"/>
      <c r="T98" s="304" t="s">
        <v>354</v>
      </c>
      <c r="U98" s="303"/>
      <c r="V98" s="303"/>
      <c r="W98" s="303"/>
      <c r="X98" s="303"/>
      <c r="Y98" s="303"/>
      <c r="Z98" s="303"/>
      <c r="AA98" s="72"/>
      <c r="AB98" s="72"/>
      <c r="AC98" s="72"/>
      <c r="AD98" s="72"/>
      <c r="AE98" s="72"/>
      <c r="AF98" s="72"/>
      <c r="AG98" s="72"/>
      <c r="AH98" s="72"/>
    </row>
    <row r="99" spans="2:34" hidden="1" x14ac:dyDescent="0.25">
      <c r="B99" s="1268">
        <v>43</v>
      </c>
      <c r="C99" s="1268"/>
      <c r="D99" s="303" t="str">
        <f ca="1">Taal04!$B$210</f>
        <v>De deelnamecode voor de winnaar van het EK is zonder foutmeldingen gegenereerd.</v>
      </c>
      <c r="E99" s="303"/>
      <c r="F99" s="303"/>
      <c r="G99" s="303"/>
      <c r="H99" s="303"/>
      <c r="I99" s="303"/>
      <c r="J99" s="303"/>
      <c r="K99" s="303"/>
      <c r="L99" s="303"/>
      <c r="M99" s="303"/>
      <c r="N99" s="303"/>
      <c r="O99" s="72"/>
      <c r="P99" s="303"/>
      <c r="Q99" s="303"/>
      <c r="R99" s="303"/>
      <c r="S99" s="305" t="s">
        <v>355</v>
      </c>
      <c r="T99" s="76" t="str">
        <f ca="1">IF($N$55="F1e",Finalewedstrijden!AO59,IF($N$55="F2e",#REF!,IF($N$55="F3e",#REF!,0)))</f>
        <v>FR|</v>
      </c>
      <c r="U99" s="303"/>
      <c r="V99" s="303"/>
      <c r="W99" s="303"/>
      <c r="X99" s="303"/>
      <c r="Y99" s="303"/>
      <c r="Z99" s="306">
        <v>40</v>
      </c>
      <c r="AA99" s="72"/>
      <c r="AB99" s="72"/>
      <c r="AC99" s="72"/>
      <c r="AD99" s="72"/>
      <c r="AE99" s="72"/>
      <c r="AF99" s="72"/>
      <c r="AG99" s="72"/>
      <c r="AH99" s="72"/>
    </row>
    <row r="100" spans="2:34" hidden="1" x14ac:dyDescent="0.25">
      <c r="B100" s="1269">
        <v>50</v>
      </c>
      <c r="C100" s="1269"/>
      <c r="D100" s="302" t="str">
        <f ca="1">Taal04!$B$212&amp;":"</f>
        <v>Bonusvragen:</v>
      </c>
      <c r="E100" s="303"/>
      <c r="F100" s="303"/>
      <c r="G100" s="303"/>
      <c r="H100" s="303"/>
      <c r="I100" s="303"/>
      <c r="J100" s="303"/>
      <c r="K100" s="303"/>
      <c r="L100" s="303"/>
      <c r="M100" s="303"/>
      <c r="N100" s="303"/>
      <c r="O100" s="72"/>
      <c r="P100" s="303"/>
      <c r="Q100" s="303"/>
      <c r="R100" s="303"/>
      <c r="S100" s="305" t="s">
        <v>330</v>
      </c>
      <c r="T100" s="76" t="str">
        <f ca="1">IF($N$55="F1e",Finalewedstrijden!AL59,IF($N$55="F2e",#REF!,IF($N$55="F3e",#REF!,0)))</f>
        <v>GOED</v>
      </c>
      <c r="U100" s="303"/>
      <c r="V100" s="303"/>
      <c r="W100" s="303"/>
      <c r="X100" s="303"/>
      <c r="Y100" s="303"/>
      <c r="Z100" s="306">
        <f ca="1">IF(T102="GOED",43,IF(T102="LEEG",41.1,42.1))</f>
        <v>43</v>
      </c>
      <c r="AA100" s="72"/>
      <c r="AB100" s="72"/>
      <c r="AC100" s="72"/>
      <c r="AD100" s="72"/>
      <c r="AE100" s="72"/>
      <c r="AF100" s="72"/>
      <c r="AG100" s="72"/>
      <c r="AH100" s="72"/>
    </row>
    <row r="101" spans="2:34" hidden="1" x14ac:dyDescent="0.25">
      <c r="B101" s="1268">
        <v>51.1</v>
      </c>
      <c r="C101" s="1268"/>
      <c r="D101" s="303" t="str">
        <f ca="1">Taal04!$B$213</f>
        <v>Het genereren van de deelnamecode voor de bonusvragen is niet mogelijk in verband met het ontbreken</v>
      </c>
      <c r="E101" s="303"/>
      <c r="F101" s="303"/>
      <c r="G101" s="303"/>
      <c r="H101" s="303"/>
      <c r="I101" s="303"/>
      <c r="J101" s="303"/>
      <c r="K101" s="303"/>
      <c r="L101" s="303"/>
      <c r="M101" s="303"/>
      <c r="N101" s="303"/>
      <c r="O101" s="72"/>
      <c r="P101" s="303"/>
      <c r="Q101" s="303"/>
      <c r="R101" s="303"/>
      <c r="S101" s="305" t="s">
        <v>333</v>
      </c>
      <c r="T101" s="76" t="str">
        <f ca="1">IF(LEN(T99)=3,"GOED",IF(LEN(T99)=4,"LEEG","FOUT"))</f>
        <v>GOED</v>
      </c>
      <c r="U101" s="324" t="s">
        <v>357</v>
      </c>
      <c r="V101" s="303"/>
      <c r="W101" s="303"/>
      <c r="X101" s="303"/>
      <c r="Y101" s="303"/>
      <c r="Z101" s="303" t="str">
        <f ca="1">IF(Z100-FLOOR(Z100,1)&gt;0,Z100+0.1,"")</f>
        <v/>
      </c>
      <c r="AA101" s="72"/>
      <c r="AB101" s="72"/>
      <c r="AC101" s="72"/>
      <c r="AD101" s="72"/>
      <c r="AE101" s="72"/>
      <c r="AF101" s="72"/>
      <c r="AG101" s="72"/>
      <c r="AH101" s="72"/>
    </row>
    <row r="102" spans="2:34" hidden="1" x14ac:dyDescent="0.25">
      <c r="B102" s="1268">
        <v>51.2</v>
      </c>
      <c r="C102" s="1268"/>
      <c r="D102" s="303" t="str">
        <f ca="1">Taal04!$B$214</f>
        <v>van gegevens. Controleer of alle velden zijn ingevuld op het werkblad "Bonusvragen".</v>
      </c>
      <c r="E102" s="303"/>
      <c r="F102" s="303"/>
      <c r="G102" s="303"/>
      <c r="H102" s="303"/>
      <c r="I102" s="303"/>
      <c r="J102" s="303"/>
      <c r="K102" s="303"/>
      <c r="L102" s="303"/>
      <c r="M102" s="303"/>
      <c r="N102" s="303"/>
      <c r="O102" s="72"/>
      <c r="P102" s="303"/>
      <c r="Q102" s="303"/>
      <c r="R102" s="303"/>
      <c r="S102" s="305" t="s">
        <v>334</v>
      </c>
      <c r="T102" s="76" t="str">
        <f ca="1">IF(AND(T100="GOED",T101="GOED"),"GOED",IF(AND(T100="LEEG",T101="LEEG"),"LEEG","FOUT"))</f>
        <v>GOED</v>
      </c>
      <c r="U102" s="303"/>
      <c r="V102" s="303"/>
      <c r="W102" s="303"/>
      <c r="X102" s="303"/>
      <c r="Y102" s="303"/>
      <c r="Z102" s="303"/>
      <c r="AA102" s="72"/>
      <c r="AB102" s="72"/>
      <c r="AC102" s="72"/>
      <c r="AD102" s="72"/>
      <c r="AE102" s="72"/>
      <c r="AF102" s="72"/>
      <c r="AG102" s="72"/>
      <c r="AH102" s="72"/>
    </row>
    <row r="103" spans="2:34" hidden="1" x14ac:dyDescent="0.25">
      <c r="B103" s="1268">
        <v>52.1</v>
      </c>
      <c r="C103" s="1268"/>
      <c r="D103" s="303" t="str">
        <f ca="1">Taal04!$B$215</f>
        <v>Bij het genereren van de deelnamecode voor de bonusvragen is er een fout geconstateerd. Controleer uw</v>
      </c>
      <c r="E103" s="303"/>
      <c r="F103" s="303"/>
      <c r="G103" s="303"/>
      <c r="H103" s="303"/>
      <c r="I103" s="303"/>
      <c r="J103" s="303"/>
      <c r="K103" s="303"/>
      <c r="L103" s="303"/>
      <c r="M103" s="303"/>
      <c r="N103" s="303"/>
      <c r="O103" s="72"/>
      <c r="P103" s="307"/>
      <c r="Q103" s="307"/>
      <c r="R103" s="307"/>
      <c r="S103" s="308"/>
      <c r="T103" s="307"/>
      <c r="U103" s="307"/>
      <c r="V103" s="307"/>
      <c r="W103" s="307"/>
      <c r="X103" s="307"/>
      <c r="Y103" s="307"/>
      <c r="Z103" s="310">
        <f>Z67</f>
        <v>99.9</v>
      </c>
      <c r="AA103" s="72"/>
      <c r="AB103" s="72"/>
      <c r="AC103" s="72"/>
      <c r="AD103" s="72"/>
      <c r="AE103" s="72"/>
      <c r="AF103" s="72"/>
      <c r="AG103" s="72"/>
      <c r="AH103" s="72"/>
    </row>
    <row r="104" spans="2:34" hidden="1" x14ac:dyDescent="0.25">
      <c r="B104" s="1268">
        <v>52.2</v>
      </c>
      <c r="C104" s="1268"/>
      <c r="D104" s="303" t="str">
        <f ca="1">Taal04!$B$216</f>
        <v>invoer op het werkblad "Bonusvragen".</v>
      </c>
      <c r="E104" s="303"/>
      <c r="F104" s="303"/>
      <c r="G104" s="303"/>
      <c r="H104" s="303"/>
      <c r="I104" s="303"/>
      <c r="J104" s="303"/>
      <c r="K104" s="303"/>
      <c r="L104" s="303"/>
      <c r="M104" s="303"/>
      <c r="N104" s="303"/>
      <c r="O104" s="72"/>
      <c r="P104" s="303"/>
      <c r="Q104" s="303"/>
      <c r="R104" s="303"/>
      <c r="S104" s="303"/>
      <c r="T104" s="304" t="s">
        <v>2127</v>
      </c>
      <c r="U104" s="303"/>
      <c r="V104" s="303"/>
      <c r="W104" s="303"/>
      <c r="X104" s="303"/>
      <c r="Y104" s="303"/>
      <c r="Z104" s="303"/>
      <c r="AA104" s="72"/>
      <c r="AB104" s="72"/>
      <c r="AC104" s="72"/>
      <c r="AD104" s="72"/>
      <c r="AE104" s="72"/>
      <c r="AF104" s="72"/>
      <c r="AG104" s="72"/>
      <c r="AH104" s="72"/>
    </row>
    <row r="105" spans="2:34" hidden="1" x14ac:dyDescent="0.25">
      <c r="B105" s="1268">
        <v>52.5</v>
      </c>
      <c r="C105" s="1268"/>
      <c r="D105" s="303" t="str">
        <f ca="1">Taal04!$B$217</f>
        <v>Bij het genereren van de deelnamecode voor de bonusvragen zijn er fouten geconstateerd. Controleer uw</v>
      </c>
      <c r="E105" s="303"/>
      <c r="F105" s="303"/>
      <c r="G105" s="303"/>
      <c r="H105" s="303"/>
      <c r="I105" s="303"/>
      <c r="J105" s="303"/>
      <c r="K105" s="303"/>
      <c r="L105" s="303"/>
      <c r="M105" s="303"/>
      <c r="N105" s="303"/>
      <c r="O105" s="72"/>
      <c r="P105" s="303"/>
      <c r="Q105" s="303"/>
      <c r="R105" s="303"/>
      <c r="S105" s="305" t="s">
        <v>360</v>
      </c>
      <c r="T105" s="303">
        <f>IF($N$59="B1e",#REF!,0)</f>
        <v>0</v>
      </c>
      <c r="U105" s="303"/>
      <c r="V105" s="303"/>
      <c r="W105" s="303"/>
      <c r="X105" s="303"/>
      <c r="Y105" s="303"/>
      <c r="Z105" s="306">
        <f>IF(T111="NVT",99.9,50)</f>
        <v>99.9</v>
      </c>
      <c r="AA105" s="72"/>
      <c r="AB105" s="72"/>
      <c r="AC105" s="72"/>
      <c r="AD105" s="72"/>
      <c r="AE105" s="72"/>
      <c r="AF105" s="72"/>
      <c r="AG105" s="72"/>
      <c r="AH105" s="72"/>
    </row>
    <row r="106" spans="2:34" hidden="1" x14ac:dyDescent="0.25">
      <c r="B106" s="1268">
        <v>52.6</v>
      </c>
      <c r="C106" s="1268"/>
      <c r="D106" s="303" t="str">
        <f ca="1">Taal04!$B$218</f>
        <v>invoer op het werkblad "Bonusvragen".</v>
      </c>
      <c r="E106" s="303"/>
      <c r="F106" s="303"/>
      <c r="G106" s="303"/>
      <c r="H106" s="303"/>
      <c r="I106" s="303"/>
      <c r="J106" s="303"/>
      <c r="K106" s="303"/>
      <c r="L106" s="303"/>
      <c r="M106" s="303"/>
      <c r="N106" s="303"/>
      <c r="O106" s="72"/>
      <c r="P106" s="303"/>
      <c r="Q106" s="303"/>
      <c r="R106" s="303"/>
      <c r="S106" s="305" t="s">
        <v>330</v>
      </c>
      <c r="T106" s="76" t="str">
        <f>IF(LEN(T105)=LEN(SUBSTITUTE(T105,"FOUT","ONGELDIG")),"GOED","FOUT")</f>
        <v>GOED</v>
      </c>
      <c r="U106" s="303"/>
      <c r="V106" s="303"/>
      <c r="W106" s="303"/>
      <c r="X106" s="303"/>
      <c r="Y106" s="303"/>
      <c r="Z106" s="306">
        <f>IF(T111="NVT",99.9,IF(T111="GOED",53,IF(T111="LEEG",51.1,IF(T111="FOUT",52.1,52.5))))</f>
        <v>99.9</v>
      </c>
      <c r="AA106" s="72"/>
      <c r="AB106" s="72"/>
      <c r="AC106" s="72"/>
      <c r="AD106" s="72"/>
      <c r="AE106" s="72"/>
      <c r="AF106" s="72"/>
      <c r="AG106" s="72"/>
      <c r="AH106" s="72"/>
    </row>
    <row r="107" spans="2:34" hidden="1" x14ac:dyDescent="0.25">
      <c r="B107" s="1268">
        <v>53</v>
      </c>
      <c r="C107" s="1268"/>
      <c r="D107" s="303" t="str">
        <f ca="1">Taal04!$B$219</f>
        <v>De deelnamecode voor de bonusvragen is zonder foutmeldingen gegenereerd.</v>
      </c>
      <c r="E107" s="303"/>
      <c r="F107" s="303"/>
      <c r="G107" s="303"/>
      <c r="H107" s="303"/>
      <c r="I107" s="303"/>
      <c r="J107" s="303"/>
      <c r="K107" s="303"/>
      <c r="L107" s="303"/>
      <c r="M107" s="303"/>
      <c r="N107" s="303"/>
      <c r="O107" s="72"/>
      <c r="P107" s="303"/>
      <c r="Q107" s="303"/>
      <c r="R107" s="303"/>
      <c r="S107" s="305" t="s">
        <v>333</v>
      </c>
      <c r="T107" s="76" t="str">
        <f>IF(LEN(T105)=45+X107+X108,"GOED",IF(LEN(T105)=66,"LEEG","FOUT"))</f>
        <v>FOUT</v>
      </c>
      <c r="U107" s="324" t="str">
        <f>45+X107+X108&amp;" = goed / 66 = leeg"</f>
        <v>45 = goed / 66 = leeg</v>
      </c>
      <c r="V107" s="303"/>
      <c r="W107" s="312" t="s">
        <v>362</v>
      </c>
      <c r="X107" s="313" t="str">
        <f>SUBSTITUTE(LEFT(RIGHT(T105,5),2),"#","")</f>
        <v>0</v>
      </c>
      <c r="Y107" s="303"/>
      <c r="Z107" s="303" t="str">
        <f>IF(T111="NVT","",IF(Z106-FLOOR(Z106,1)&gt;0,Z106+0.1,""))</f>
        <v/>
      </c>
      <c r="AA107" s="72"/>
      <c r="AB107" s="72"/>
      <c r="AC107" s="72"/>
      <c r="AD107" s="72"/>
      <c r="AE107" s="72"/>
      <c r="AF107" s="72"/>
      <c r="AG107" s="72"/>
      <c r="AH107" s="72"/>
    </row>
    <row r="108" spans="2:34" hidden="1" x14ac:dyDescent="0.25">
      <c r="B108" s="1269">
        <v>60</v>
      </c>
      <c r="C108" s="1269"/>
      <c r="D108" s="302" t="str">
        <f ca="1">Taal04!$B$221</f>
        <v>Teams</v>
      </c>
      <c r="E108" s="303"/>
      <c r="F108" s="303"/>
      <c r="G108" s="303"/>
      <c r="H108" s="303"/>
      <c r="I108" s="303"/>
      <c r="J108" s="303"/>
      <c r="K108" s="303"/>
      <c r="L108" s="303"/>
      <c r="M108" s="303"/>
      <c r="N108" s="303"/>
      <c r="O108" s="72"/>
      <c r="P108" s="303"/>
      <c r="Q108" s="303"/>
      <c r="R108" s="303"/>
      <c r="S108" s="305" t="s">
        <v>340</v>
      </c>
      <c r="T108" s="76">
        <f>IF($N$59="B1e",#REF!,0)</f>
        <v>0</v>
      </c>
      <c r="U108" s="303"/>
      <c r="V108" s="303"/>
      <c r="W108" s="314" t="s">
        <v>363</v>
      </c>
      <c r="X108" s="315" t="str">
        <f>SUBSTITUTE(LEFT(RIGHT(T105,3),2),"#","")</f>
        <v>0</v>
      </c>
      <c r="Y108" s="303"/>
      <c r="Z108" s="303"/>
      <c r="AA108" s="72"/>
      <c r="AB108" s="72"/>
      <c r="AC108" s="72"/>
      <c r="AD108" s="72"/>
      <c r="AE108" s="72"/>
      <c r="AF108" s="72"/>
      <c r="AG108" s="72"/>
      <c r="AH108" s="72"/>
    </row>
    <row r="109" spans="2:34" hidden="1" x14ac:dyDescent="0.25">
      <c r="B109" s="1268">
        <v>61.1</v>
      </c>
      <c r="C109" s="1268"/>
      <c r="D109" s="303" t="str">
        <f ca="1">Taal04!$B$222</f>
        <v>Er zijn onvoldoende teams geselecteerd om een deelnamecode te genereren.</v>
      </c>
      <c r="E109" s="303"/>
      <c r="F109" s="303"/>
      <c r="G109" s="303"/>
      <c r="H109" s="303"/>
      <c r="I109" s="303"/>
      <c r="J109" s="303"/>
      <c r="K109" s="303"/>
      <c r="L109" s="303"/>
      <c r="M109" s="303"/>
      <c r="N109" s="303"/>
      <c r="O109" s="72"/>
      <c r="P109" s="303"/>
      <c r="Q109" s="303"/>
      <c r="R109" s="303"/>
      <c r="S109" s="305" t="s">
        <v>343</v>
      </c>
      <c r="T109" s="76">
        <f>IF($N$59="B1e",#REF!,0)</f>
        <v>0</v>
      </c>
      <c r="U109" s="303"/>
      <c r="V109" s="303"/>
      <c r="W109" s="303"/>
      <c r="X109" s="303"/>
      <c r="Y109" s="303"/>
      <c r="Z109" s="303"/>
      <c r="AA109" s="72"/>
      <c r="AB109" s="72"/>
      <c r="AC109" s="72"/>
      <c r="AD109" s="72"/>
      <c r="AE109" s="72"/>
      <c r="AF109" s="72"/>
      <c r="AG109" s="72"/>
      <c r="AH109" s="72"/>
    </row>
    <row r="110" spans="2:34" hidden="1" x14ac:dyDescent="0.25">
      <c r="B110" s="1268">
        <v>61.2</v>
      </c>
      <c r="C110" s="1268"/>
      <c r="D110" s="303" t="str">
        <f ca="1">Taal04!$B$223</f>
        <v>Er zijn teveel teams geselecteerd om een deelnamecode te genereren.</v>
      </c>
      <c r="E110" s="303"/>
      <c r="F110" s="303"/>
      <c r="G110" s="303"/>
      <c r="H110" s="303"/>
      <c r="I110" s="303"/>
      <c r="J110" s="303"/>
      <c r="K110" s="303"/>
      <c r="L110" s="303"/>
      <c r="M110" s="303"/>
      <c r="N110" s="303"/>
      <c r="O110" s="72"/>
      <c r="P110" s="303"/>
      <c r="Q110" s="303"/>
      <c r="R110" s="303"/>
      <c r="S110" s="305" t="s">
        <v>344</v>
      </c>
      <c r="T110" s="76">
        <f>IF($N$59="B1e",#REF!,0)</f>
        <v>0</v>
      </c>
      <c r="U110" s="303"/>
      <c r="V110" s="303"/>
      <c r="W110" s="303"/>
      <c r="X110" s="303"/>
      <c r="Y110" s="303"/>
      <c r="Z110" s="303"/>
      <c r="AA110" s="72"/>
      <c r="AB110" s="72"/>
      <c r="AC110" s="72"/>
      <c r="AD110" s="72"/>
      <c r="AE110" s="72"/>
      <c r="AF110" s="72"/>
      <c r="AG110" s="72"/>
      <c r="AH110" s="72"/>
    </row>
    <row r="111" spans="2:34" hidden="1" x14ac:dyDescent="0.25">
      <c r="B111" s="1268">
        <v>61.3</v>
      </c>
      <c r="C111" s="1268"/>
      <c r="D111" s="303" t="str">
        <f ca="1">Taal04!$B$224</f>
        <v>Controleer het aantal geselecteerde teams op het werkblad "Teams".</v>
      </c>
      <c r="E111" s="303"/>
      <c r="F111" s="303"/>
      <c r="G111" s="303"/>
      <c r="H111" s="303"/>
      <c r="I111" s="303"/>
      <c r="J111" s="303"/>
      <c r="K111" s="303"/>
      <c r="L111" s="303"/>
      <c r="M111" s="303"/>
      <c r="N111" s="303"/>
      <c r="O111" s="72"/>
      <c r="P111" s="303"/>
      <c r="Q111" s="303"/>
      <c r="R111" s="303"/>
      <c r="S111" s="305" t="s">
        <v>334</v>
      </c>
      <c r="T111" s="76" t="str">
        <f>IF($H$59= "JA",IF(AND(T106="GOED",T107="GOED",T108=0,T109=0,T110=15),"GOED",IF(T108&gt;0,"LEEG",IF(T109&lt;2,"FOUT","FOUTEN"))),"NVT")</f>
        <v>NVT</v>
      </c>
      <c r="U111" s="303"/>
      <c r="V111" s="303"/>
      <c r="W111" s="303"/>
      <c r="X111" s="303"/>
      <c r="Y111" s="303"/>
      <c r="Z111" s="303"/>
      <c r="AA111" s="72"/>
      <c r="AB111" s="72"/>
      <c r="AC111" s="72"/>
      <c r="AD111" s="72"/>
      <c r="AE111" s="72"/>
      <c r="AF111" s="72"/>
      <c r="AG111" s="72"/>
      <c r="AH111" s="72"/>
    </row>
    <row r="112" spans="2:34" hidden="1" x14ac:dyDescent="0.25">
      <c r="B112" s="1268">
        <v>62.1</v>
      </c>
      <c r="C112" s="1268"/>
      <c r="D112" s="303" t="str">
        <f ca="1">Taal04!$B$225</f>
        <v>Bij het genereren van de deelnamecode voor de teams is er een fout geconstateerd.</v>
      </c>
      <c r="E112" s="303"/>
      <c r="F112" s="303"/>
      <c r="G112" s="303"/>
      <c r="H112" s="303"/>
      <c r="I112" s="303"/>
      <c r="J112" s="303"/>
      <c r="K112" s="303"/>
      <c r="L112" s="303"/>
      <c r="M112" s="303"/>
      <c r="N112" s="303"/>
      <c r="O112" s="72"/>
      <c r="P112" s="307"/>
      <c r="Q112" s="307"/>
      <c r="R112" s="307"/>
      <c r="S112" s="308"/>
      <c r="T112" s="307"/>
      <c r="U112" s="307"/>
      <c r="V112" s="307"/>
      <c r="W112" s="307"/>
      <c r="X112" s="307"/>
      <c r="Y112" s="310" t="str">
        <f>IF(T111="NVT","",Z67)</f>
        <v/>
      </c>
      <c r="Z112" s="310"/>
      <c r="AA112" s="72"/>
      <c r="AB112" s="72"/>
      <c r="AC112" s="72"/>
      <c r="AD112" s="72"/>
      <c r="AE112" s="72"/>
      <c r="AF112" s="72"/>
      <c r="AG112" s="72"/>
      <c r="AH112" s="72"/>
    </row>
    <row r="113" spans="2:34" hidden="1" x14ac:dyDescent="0.25">
      <c r="B113" s="1268">
        <v>62.2</v>
      </c>
      <c r="C113" s="1268"/>
      <c r="D113" s="303" t="str">
        <f ca="1">Taal04!$B$226</f>
        <v>Controleer uw selectie van de teams op het werkblad "Teams".</v>
      </c>
      <c r="E113" s="303"/>
      <c r="F113" s="303"/>
      <c r="G113" s="303"/>
      <c r="H113" s="303"/>
      <c r="I113" s="303"/>
      <c r="J113" s="303"/>
      <c r="K113" s="303"/>
      <c r="L113" s="303"/>
      <c r="M113" s="303"/>
      <c r="N113" s="303"/>
      <c r="O113" s="72"/>
      <c r="P113" s="303"/>
      <c r="Q113" s="303"/>
      <c r="R113" s="303"/>
      <c r="S113" s="305"/>
      <c r="T113" s="304" t="s">
        <v>2128</v>
      </c>
      <c r="U113" s="303"/>
      <c r="V113" s="303"/>
      <c r="W113" s="303"/>
      <c r="X113" s="303"/>
      <c r="Y113" s="303"/>
      <c r="Z113" s="303"/>
      <c r="AA113" s="72"/>
      <c r="AB113" s="72"/>
      <c r="AC113" s="72"/>
      <c r="AD113" s="72"/>
      <c r="AE113" s="72"/>
      <c r="AF113" s="72"/>
      <c r="AG113" s="72"/>
      <c r="AH113" s="72"/>
    </row>
    <row r="114" spans="2:34" hidden="1" x14ac:dyDescent="0.25">
      <c r="B114" s="1268">
        <v>63</v>
      </c>
      <c r="C114" s="1268"/>
      <c r="D114" s="303" t="str">
        <f ca="1">Taal04!$B$227</f>
        <v>Er zijn voldoende teams geselecteerd om een deelnamecode te genereren.</v>
      </c>
      <c r="E114" s="303"/>
      <c r="F114" s="303"/>
      <c r="G114" s="303"/>
      <c r="H114" s="303"/>
      <c r="I114" s="303"/>
      <c r="J114" s="303"/>
      <c r="K114" s="303"/>
      <c r="L114" s="303"/>
      <c r="M114" s="303"/>
      <c r="N114" s="303"/>
      <c r="O114" s="72"/>
      <c r="P114" s="303"/>
      <c r="Q114" s="303"/>
      <c r="R114" s="303"/>
      <c r="S114" s="305" t="s">
        <v>2129</v>
      </c>
      <c r="T114" s="311">
        <f>IF(Teams!T3=1,Teams!Q215,0)</f>
        <v>0</v>
      </c>
      <c r="U114" s="303"/>
      <c r="V114" s="303"/>
      <c r="W114" s="303"/>
      <c r="X114" s="303"/>
      <c r="Y114" s="303">
        <f>IF(T116="NVT",99.9,60)</f>
        <v>99.9</v>
      </c>
      <c r="Z114" s="357" t="str">
        <f ca="1">IF(T86="NVT",99.9,"")</f>
        <v/>
      </c>
      <c r="AA114" s="72"/>
      <c r="AB114" s="72"/>
      <c r="AC114" s="72"/>
      <c r="AD114" s="72"/>
      <c r="AE114" s="72"/>
      <c r="AF114" s="72"/>
      <c r="AG114" s="72"/>
      <c r="AH114" s="72"/>
    </row>
    <row r="115" spans="2:34" hidden="1" x14ac:dyDescent="0.25">
      <c r="B115" s="1270">
        <v>88.8</v>
      </c>
      <c r="C115" s="1270"/>
      <c r="D115" s="303" t="str">
        <f>Voorblad!C15</f>
        <v/>
      </c>
      <c r="E115" s="303"/>
      <c r="F115" s="303"/>
      <c r="G115" s="303"/>
      <c r="H115" s="303"/>
      <c r="I115" s="303"/>
      <c r="J115" s="303"/>
      <c r="K115" s="303"/>
      <c r="L115" s="303"/>
      <c r="M115" s="303"/>
      <c r="N115" s="303"/>
      <c r="O115" s="72"/>
      <c r="P115" s="303"/>
      <c r="Q115" s="303"/>
      <c r="R115" s="303"/>
      <c r="S115" s="305" t="s">
        <v>2130</v>
      </c>
      <c r="T115" s="76">
        <f>IF(Teams!T3=1,Teams!Q212,0)</f>
        <v>0</v>
      </c>
      <c r="U115" s="303"/>
      <c r="V115" s="305" t="s">
        <v>2131</v>
      </c>
      <c r="W115" s="303" t="str">
        <f>IF(LEN(T114)=10,"GOED","FOUT")</f>
        <v>FOUT</v>
      </c>
      <c r="X115" s="303"/>
      <c r="Y115" s="303">
        <f>IF(T116="NVT",99.9,IF(T116="GOED",63,IF(T116="TEWEINIG",61.1,IF(T116="TEVEEL",61.2,62.1))))</f>
        <v>99.9</v>
      </c>
      <c r="Z115" s="357" t="str">
        <f ca="1">IF(T86="NVT",99.9,"")</f>
        <v/>
      </c>
      <c r="AA115" s="72"/>
      <c r="AB115" s="72"/>
      <c r="AC115" s="72"/>
      <c r="AD115" s="72"/>
      <c r="AE115" s="72"/>
      <c r="AF115" s="72"/>
      <c r="AG115" s="72"/>
      <c r="AH115" s="72"/>
    </row>
    <row r="116" spans="2:34" hidden="1" x14ac:dyDescent="0.25">
      <c r="B116" s="1269">
        <v>99.9</v>
      </c>
      <c r="C116" s="1269"/>
      <c r="D116" s="302" t="s">
        <v>364</v>
      </c>
      <c r="E116" s="303"/>
      <c r="F116" s="303"/>
      <c r="G116" s="303"/>
      <c r="H116" s="303"/>
      <c r="I116" s="303"/>
      <c r="J116" s="303"/>
      <c r="K116" s="303"/>
      <c r="L116" s="303"/>
      <c r="M116" s="303"/>
      <c r="N116" s="303"/>
      <c r="O116" s="72"/>
      <c r="P116" s="303"/>
      <c r="Q116" s="303"/>
      <c r="R116" s="303"/>
      <c r="S116" s="305" t="s">
        <v>334</v>
      </c>
      <c r="T116" s="76" t="str">
        <f>IF(AND(T114&lt;&gt;0,T115=1,W115="GOED"),"GOED",IF(AND(T114&lt;&gt;0,T115=2),"TEWEINIG",IF(AND(T114&lt;&gt;0,T115=3),"TEVEEL",IF(T114&lt;&gt;0,"FOUT","NVT"))))</f>
        <v>NVT</v>
      </c>
      <c r="U116" s="303"/>
      <c r="V116" s="303"/>
      <c r="W116" s="303"/>
      <c r="X116" s="303"/>
      <c r="Y116" s="303">
        <f>IF(T116="NVT",99.9,IF(T116="GOED",99.9,IF(T116="TEWEINIG",61.3,IF(T116="TEVEEL",61.3,62.2))))</f>
        <v>99.9</v>
      </c>
      <c r="Z116" s="357" t="str">
        <f ca="1">IF(T86="NVT",99.9,"")</f>
        <v/>
      </c>
      <c r="AA116" s="72"/>
      <c r="AB116" s="72"/>
      <c r="AC116" s="72"/>
      <c r="AD116" s="72"/>
      <c r="AE116" s="72"/>
      <c r="AF116" s="72"/>
      <c r="AG116" s="72"/>
      <c r="AH116" s="72"/>
    </row>
    <row r="117" spans="2:34" hidden="1" x14ac:dyDescent="0.25">
      <c r="B117" s="1263" t="s">
        <v>365</v>
      </c>
      <c r="C117" s="1263"/>
      <c r="D117" s="1263"/>
      <c r="E117" s="1263"/>
      <c r="F117" s="1263"/>
      <c r="G117" s="316" t="s">
        <v>366</v>
      </c>
      <c r="H117" s="316" t="s">
        <v>367</v>
      </c>
      <c r="I117" s="316" t="s">
        <v>368</v>
      </c>
      <c r="J117" s="316" t="s">
        <v>369</v>
      </c>
      <c r="K117" s="316" t="s">
        <v>273</v>
      </c>
      <c r="L117" s="317"/>
      <c r="M117" s="317"/>
      <c r="N117" s="317"/>
      <c r="O117" s="72"/>
      <c r="P117" s="307"/>
      <c r="Q117" s="307"/>
      <c r="R117" s="307"/>
      <c r="S117" s="308"/>
      <c r="T117" s="307"/>
      <c r="U117" s="307"/>
      <c r="V117" s="307"/>
      <c r="W117" s="307"/>
      <c r="X117" s="308" t="s">
        <v>2146</v>
      </c>
      <c r="Y117" s="925">
        <f ca="1">COUNT(Z61:Z116)+COUNT(Y112:Y116)</f>
        <v>20</v>
      </c>
      <c r="Z117" s="309">
        <f ca="1">IF(Y117&lt;27,B116,"")</f>
        <v>99.9</v>
      </c>
      <c r="AA117" s="72"/>
      <c r="AB117" s="72"/>
      <c r="AC117" s="72"/>
      <c r="AD117" s="72"/>
      <c r="AE117" s="72"/>
      <c r="AF117" s="72"/>
      <c r="AG117" s="72"/>
      <c r="AH117" s="72"/>
    </row>
    <row r="118" spans="2:34" hidden="1" x14ac:dyDescent="0.25">
      <c r="B118" s="1263" t="str">
        <f ca="1">SUBSTITUTE(D63,":","")</f>
        <v>Gegevens Deelnemer</v>
      </c>
      <c r="C118" s="1263"/>
      <c r="D118" s="1263"/>
      <c r="E118" s="1263"/>
      <c r="F118" s="1263"/>
      <c r="G118" s="316">
        <v>2</v>
      </c>
      <c r="H118" s="316">
        <f>IF(T66="LEEG",1,0)+IF(AD66="LEEG",IF(AD69="NEE",0,1),0)</f>
        <v>0</v>
      </c>
      <c r="I118" s="316">
        <f>IF(T66="GOED",1,0)+IF(AD66="GOED",1,0)+IF(AND(AD66="LEEG",AD69="NEE"),1,0)</f>
        <v>2</v>
      </c>
      <c r="J118" s="316">
        <f>IF(T66="FOUT",1,0)+IF(AD66="FOUT",1,0)</f>
        <v>0</v>
      </c>
      <c r="K118" s="521" t="str">
        <f>IF(AND(AF68="GOED",AF69="GOED"),"GOED",IF(OR(AF68="LEEG",AF69="LEEG"),"LEEG","FOUT"))</f>
        <v>GOED</v>
      </c>
      <c r="L118" s="317"/>
      <c r="M118" s="317"/>
      <c r="N118" s="317"/>
      <c r="O118" s="72"/>
      <c r="P118" s="307"/>
      <c r="Q118" s="307"/>
      <c r="R118" s="307"/>
      <c r="S118" s="308"/>
      <c r="T118" s="307"/>
      <c r="U118" s="307"/>
      <c r="V118" s="307"/>
      <c r="W118" s="307"/>
      <c r="X118" s="307"/>
      <c r="Y118" s="307"/>
      <c r="Z118" s="309">
        <f ca="1">IF(Y117&lt;26,B116,"")</f>
        <v>99.9</v>
      </c>
      <c r="AA118" s="72"/>
      <c r="AB118" s="72"/>
      <c r="AC118" s="72"/>
      <c r="AD118" s="72"/>
      <c r="AE118" s="72"/>
      <c r="AF118" s="72"/>
      <c r="AG118" s="72"/>
      <c r="AH118" s="72"/>
    </row>
    <row r="119" spans="2:34" hidden="1" x14ac:dyDescent="0.25">
      <c r="B119" s="1263" t="str">
        <f ca="1">SUBSTITUTE(D70,":","")</f>
        <v>Voorspellingen Groepswedstrijden</v>
      </c>
      <c r="C119" s="1263"/>
      <c r="D119" s="1263"/>
      <c r="E119" s="1263"/>
      <c r="F119" s="1263"/>
      <c r="G119" s="420">
        <f>IF($N$53="G1e",$AD$57,IF($N$53="G2e",$AE$57,999))</f>
        <v>72</v>
      </c>
      <c r="H119" s="316">
        <f ca="1">T72</f>
        <v>0</v>
      </c>
      <c r="I119" s="316">
        <f ca="1">T75</f>
        <v>72</v>
      </c>
      <c r="J119" s="316">
        <f ca="1">T73+T74</f>
        <v>0</v>
      </c>
      <c r="K119" s="316" t="str">
        <f ca="1">T76</f>
        <v>GOED</v>
      </c>
      <c r="L119" s="317"/>
      <c r="M119" s="318"/>
      <c r="N119" s="317"/>
      <c r="O119" s="72"/>
      <c r="P119" s="307"/>
      <c r="Q119" s="307"/>
      <c r="R119" s="307"/>
      <c r="S119" s="308"/>
      <c r="T119" s="307"/>
      <c r="U119" s="307"/>
      <c r="V119" s="307"/>
      <c r="W119" s="307"/>
      <c r="X119" s="307"/>
      <c r="Y119" s="307"/>
      <c r="Z119" s="309">
        <f ca="1">IF(Y117&lt;25,B116,"")</f>
        <v>99.9</v>
      </c>
      <c r="AA119" s="72"/>
      <c r="AB119" s="72"/>
      <c r="AC119" s="72"/>
      <c r="AD119" s="72"/>
      <c r="AE119" s="72"/>
      <c r="AF119" s="72"/>
      <c r="AG119" s="72"/>
      <c r="AH119" s="72"/>
    </row>
    <row r="120" spans="2:34" hidden="1" x14ac:dyDescent="0.25">
      <c r="B120" s="1263" t="str">
        <f ca="1">SUBSTITUTE(D78,":","")</f>
        <v>Voorspellingen Eindstand in de Groep</v>
      </c>
      <c r="C120" s="1263"/>
      <c r="D120" s="1263"/>
      <c r="E120" s="1263"/>
      <c r="F120" s="1263"/>
      <c r="G120" s="420">
        <f ca="1">IF(T86="NVT",0,$AD$55)</f>
        <v>24</v>
      </c>
      <c r="H120" s="316">
        <f ca="1">IF(T86="NVT",0,T82)</f>
        <v>0</v>
      </c>
      <c r="I120" s="316">
        <f ca="1">IF(T86="NVT",0,T85)</f>
        <v>24</v>
      </c>
      <c r="J120" s="316">
        <f ca="1">IF(T86="NVT",0,T83+T84)</f>
        <v>0</v>
      </c>
      <c r="K120" s="316" t="str">
        <f ca="1">IF(T86="NVT","GOED",T86)</f>
        <v>GOED</v>
      </c>
      <c r="L120" s="317"/>
      <c r="M120" s="318"/>
      <c r="N120" s="317"/>
      <c r="O120" s="72"/>
      <c r="P120" s="307"/>
      <c r="Q120" s="307"/>
      <c r="R120" s="307"/>
      <c r="S120" s="308"/>
      <c r="T120" s="307"/>
      <c r="U120" s="307"/>
      <c r="V120" s="307"/>
      <c r="W120" s="307"/>
      <c r="X120" s="307"/>
      <c r="Y120" s="307"/>
      <c r="Z120" s="309">
        <f ca="1">IF(Y117&lt;24,B116,"")</f>
        <v>99.9</v>
      </c>
      <c r="AA120" s="72"/>
      <c r="AB120" s="72"/>
      <c r="AC120" s="72"/>
      <c r="AD120" s="72"/>
      <c r="AE120" s="72"/>
      <c r="AF120" s="72"/>
      <c r="AG120" s="72"/>
      <c r="AH120" s="72"/>
    </row>
    <row r="121" spans="2:34" hidden="1" x14ac:dyDescent="0.25">
      <c r="B121" s="1263" t="str">
        <f ca="1">SUBSTITUTE(D86,":","")</f>
        <v>Voorspellingen Finalewedstrijden</v>
      </c>
      <c r="C121" s="1263"/>
      <c r="D121" s="1263"/>
      <c r="E121" s="1263"/>
      <c r="F121" s="1263"/>
      <c r="G121" s="420">
        <f>IF($N$55="F1e",$AD$58,IF($N$55="F2e",$AE$58,IF($N$55="F3e",$AF$58,999)))</f>
        <v>60</v>
      </c>
      <c r="H121" s="316">
        <f ca="1">T92</f>
        <v>0</v>
      </c>
      <c r="I121" s="316">
        <f ca="1">T95</f>
        <v>60</v>
      </c>
      <c r="J121" s="316">
        <f ca="1">T93+T94</f>
        <v>0</v>
      </c>
      <c r="K121" s="316" t="str">
        <f ca="1">T96</f>
        <v>GOED</v>
      </c>
      <c r="L121" s="317"/>
      <c r="M121" s="318"/>
      <c r="N121" s="317"/>
      <c r="O121" s="72"/>
      <c r="P121" s="307"/>
      <c r="Q121" s="307"/>
      <c r="R121" s="307"/>
      <c r="S121" s="308"/>
      <c r="T121" s="307"/>
      <c r="U121" s="307"/>
      <c r="V121" s="307"/>
      <c r="W121" s="307"/>
      <c r="X121" s="307"/>
      <c r="Y121" s="307"/>
      <c r="Z121" s="309">
        <f ca="1">IF(Y117&lt;23,B116,"")</f>
        <v>99.9</v>
      </c>
      <c r="AA121" s="72"/>
      <c r="AB121" s="72"/>
      <c r="AC121" s="72"/>
      <c r="AD121" s="72"/>
      <c r="AE121" s="72"/>
      <c r="AF121" s="72"/>
      <c r="AG121" s="72"/>
      <c r="AH121" s="72"/>
    </row>
    <row r="122" spans="2:34" hidden="1" x14ac:dyDescent="0.25">
      <c r="B122" s="1263" t="str">
        <f ca="1">SUBSTITUTE(D94,":","")</f>
        <v>Voorspelling Winnaar EURO 2024</v>
      </c>
      <c r="C122" s="1263"/>
      <c r="D122" s="1263"/>
      <c r="E122" s="1263"/>
      <c r="F122" s="1263"/>
      <c r="G122" s="316">
        <v>1</v>
      </c>
      <c r="H122" s="316">
        <f ca="1">IF(K122="LEEG",1,0)</f>
        <v>0</v>
      </c>
      <c r="I122" s="316">
        <f ca="1">IF(K122="GOED",1,0)</f>
        <v>1</v>
      </c>
      <c r="J122" s="316">
        <f ca="1">IF(K122="FOUT",1,0)</f>
        <v>0</v>
      </c>
      <c r="K122" s="316" t="str">
        <f ca="1">T102</f>
        <v>GOED</v>
      </c>
      <c r="L122" s="318"/>
      <c r="M122" s="318"/>
      <c r="N122" s="317"/>
      <c r="O122" s="72"/>
      <c r="P122" s="72"/>
      <c r="Q122" s="72"/>
      <c r="R122" s="72"/>
      <c r="S122" s="72"/>
      <c r="T122" s="72"/>
      <c r="U122" s="72"/>
      <c r="V122" s="72"/>
      <c r="W122" s="72"/>
      <c r="X122" s="72"/>
      <c r="Y122" s="72"/>
      <c r="Z122" s="308">
        <f ca="1">IF(Y117&lt;22,B116,"")</f>
        <v>99.9</v>
      </c>
      <c r="AA122" s="72"/>
      <c r="AB122" s="72"/>
      <c r="AC122" s="72"/>
      <c r="AD122" s="72"/>
      <c r="AE122" s="72"/>
      <c r="AF122" s="72"/>
      <c r="AG122" s="72"/>
      <c r="AH122" s="72"/>
    </row>
    <row r="123" spans="2:34" hidden="1" x14ac:dyDescent="0.25">
      <c r="B123" s="1263" t="str">
        <f ca="1">SUBSTITUTE(D100,":","")</f>
        <v>Bonusvragen</v>
      </c>
      <c r="C123" s="1263"/>
      <c r="D123" s="1263"/>
      <c r="E123" s="1263"/>
      <c r="F123" s="1263"/>
      <c r="G123" s="316">
        <f>IF(T111="NVT",0,15)</f>
        <v>0</v>
      </c>
      <c r="H123" s="316">
        <f>IF(T111="NVT",0,T108)</f>
        <v>0</v>
      </c>
      <c r="I123" s="316">
        <f>IF(T111="NVT",0,T110)</f>
        <v>0</v>
      </c>
      <c r="J123" s="316">
        <f>IF(T111="NVT",0,T109)</f>
        <v>0</v>
      </c>
      <c r="K123" s="316" t="str">
        <f>IF(T111="NVT","GOED",T111)</f>
        <v>GOED</v>
      </c>
      <c r="L123" s="319" t="s">
        <v>370</v>
      </c>
      <c r="M123" s="317"/>
      <c r="N123" s="317"/>
      <c r="O123" s="72"/>
      <c r="P123" s="1284">
        <f ca="1">LEN(S123)/3</f>
        <v>26</v>
      </c>
      <c r="Q123" s="1284"/>
      <c r="R123" s="1284"/>
      <c r="S123" s="1262" t="str">
        <f ca="1">IF(X128=1,IF(ISNUMBER(Z62),Z62*10,"")&amp;IF(ISNUMBER(Z63),Z63*10,"")&amp;IF(ISNUMBER(Z64),Z64*10,"")&amp;IF(ISNUMBER(Z67),Z67*10,"")&amp;IF(ISNUMBER(Z69),Z69*10,"")&amp;IF(ISNUMBER(Z70),Z70*10,"")&amp;IF(ISNUMBER(Z71),Z71*10,"")&amp;IF(ISNUMBER(Z77),Z77*10,"")&amp;IF(ISNUMBER(Z79),Z79*10,"")&amp;IF(ISNUMBER(Z80),Z80*10,"")&amp;IF(ISNUMBER(Z81),Z81*10,"")&amp;IF(ISNUMBER(Z87),Z87*10,"")&amp;IF(ISNUMBER(Z89),Z89*10,"")&amp;IF(ISNUMBER(Z90),Z90*10,"")&amp;IF(ISNUMBER(Z91),Z91*10,"")&amp;IF(ISNUMBER(Z97),Z97*10,"")&amp;IF(ISNUMBER(Z99),Z99*10,"")&amp;IF(ISNUMBER(Z100),Z100*10,"")&amp;IF(ISNUMBER(Z101),Z101*10,"")&amp;IF(ISNUMBER(Z103),Z103*10,"")&amp;IF(ISNUMBER(Z105),Z105*10,"")&amp;IF(ISNUMBER(Z106),Z106*10,"")&amp;IF(ISNUMBER(Z107),Z107*10,"")&amp;IF(ISNUMBER(Y112),Y112*10,"")&amp;IF(ISNUMBER(Y114),Y114*10,"")&amp;IF(ISNUMBER(Y115),Y115*10,"")&amp;IF(ISNUMBER(Y116),Y116*10,"")&amp;IF(ISNUMBER(Z114),Z114*10,"")&amp;IF(ISNUMBER(Z115),Z115*10,"")&amp;IF(ISNUMBER(Z116),Z116*10,"")&amp;IF(ISNUMBER(Z117),Z117*10,"")&amp;IF(ISNUMBER(Z118),Z118*10,"")&amp;IF(ISNUMBER(Z119),Z119*10,"")&amp;IF(ISNUMBER(Z120),Z120*10,"")&amp;IF(ISNUMBER(Z121),Z121*10,"")&amp;IF(ISNUMBER(Z122),Z122*10,""),"888999999999999999999999999999999999999999999999999999999999999999999")</f>
        <v>100130999200230999250280999300330999400430999999999999999999999999999999999999</v>
      </c>
      <c r="T123" s="1262"/>
      <c r="U123" s="1262"/>
      <c r="V123" s="1262"/>
      <c r="W123" s="1262"/>
      <c r="X123" s="1262"/>
      <c r="Y123" s="1262"/>
      <c r="Z123" s="1262"/>
      <c r="AA123" s="72"/>
      <c r="AB123" s="72"/>
      <c r="AC123" s="72"/>
      <c r="AD123" s="72"/>
      <c r="AE123" s="72"/>
      <c r="AF123" s="72"/>
      <c r="AG123" s="72"/>
      <c r="AH123" s="72"/>
    </row>
    <row r="124" spans="2:34" hidden="1" x14ac:dyDescent="0.25">
      <c r="B124" s="1263" t="str">
        <f ca="1">SUBSTITUTE(D108,":","")</f>
        <v>Teams</v>
      </c>
      <c r="C124" s="1263"/>
      <c r="D124" s="1263"/>
      <c r="E124" s="1263"/>
      <c r="F124" s="1263"/>
      <c r="G124" s="316">
        <f>IF(T116="NVT",0,1)</f>
        <v>0</v>
      </c>
      <c r="H124" s="316">
        <f>IF(T116="NVT",0,0)</f>
        <v>0</v>
      </c>
      <c r="I124" s="316">
        <f>IF(T116="NVT",0,IF(T116="GOED",1,0))</f>
        <v>0</v>
      </c>
      <c r="J124" s="316">
        <f>IF(T116="NVT",0,IF(T116="GOED",0,1))</f>
        <v>0</v>
      </c>
      <c r="K124" s="316" t="str">
        <f>IF(T116="NVT","GOED",IF(T116="GOED","GOED","FOUT"))</f>
        <v>GOED</v>
      </c>
      <c r="L124" s="319" t="s">
        <v>371</v>
      </c>
      <c r="M124" s="318"/>
      <c r="N124" s="317"/>
      <c r="O124" s="72"/>
      <c r="P124" s="924"/>
      <c r="Q124" s="924"/>
      <c r="R124" s="924"/>
      <c r="S124" s="1262"/>
      <c r="T124" s="1262"/>
      <c r="U124" s="1262"/>
      <c r="V124" s="1262"/>
      <c r="W124" s="1262"/>
      <c r="X124" s="1262"/>
      <c r="Y124" s="1262"/>
      <c r="Z124" s="1262"/>
      <c r="AA124" s="72"/>
      <c r="AB124" s="72"/>
      <c r="AC124" s="72"/>
      <c r="AD124" s="72"/>
      <c r="AE124" s="72"/>
      <c r="AF124" s="72"/>
      <c r="AG124" s="72"/>
      <c r="AH124" s="72"/>
    </row>
    <row r="125" spans="2:34" hidden="1" x14ac:dyDescent="0.25">
      <c r="B125" s="1263" t="s">
        <v>313</v>
      </c>
      <c r="C125" s="1263"/>
      <c r="D125" s="1263"/>
      <c r="E125" s="1263"/>
      <c r="F125" s="1263"/>
      <c r="G125" s="316">
        <f ca="1">SUM(G118:G124)</f>
        <v>159</v>
      </c>
      <c r="H125" s="316">
        <f ca="1">SUM(H118:H124)</f>
        <v>0</v>
      </c>
      <c r="I125" s="316">
        <f ca="1">SUM(I118:I124)</f>
        <v>159</v>
      </c>
      <c r="J125" s="316">
        <f ca="1">SUM(J118:J124)</f>
        <v>0</v>
      </c>
      <c r="K125" s="316">
        <f ca="1">COUNTIF(K118:K124,"GOED")</f>
        <v>7</v>
      </c>
      <c r="L125" s="319" t="s">
        <v>372</v>
      </c>
      <c r="M125" s="318"/>
      <c r="N125" s="318"/>
      <c r="O125" s="88"/>
      <c r="P125" s="88"/>
      <c r="Q125" s="88"/>
      <c r="R125" s="88"/>
      <c r="S125" s="320"/>
      <c r="T125" s="88"/>
      <c r="U125" s="88"/>
      <c r="V125" s="88"/>
      <c r="W125" s="88"/>
      <c r="X125" s="88"/>
      <c r="Y125" s="88"/>
      <c r="Z125" s="88"/>
      <c r="AA125" s="88"/>
      <c r="AB125" s="88"/>
      <c r="AC125" s="88"/>
      <c r="AD125" s="88"/>
      <c r="AE125" s="88"/>
      <c r="AF125" s="88"/>
      <c r="AG125" s="88"/>
      <c r="AH125" s="88"/>
    </row>
    <row r="126" spans="2:34" ht="15" hidden="1" customHeight="1" x14ac:dyDescent="0.25">
      <c r="B126" s="318" t="s">
        <v>373</v>
      </c>
      <c r="C126" s="318"/>
      <c r="D126" s="318"/>
      <c r="E126" s="318"/>
      <c r="F126" s="2"/>
      <c r="G126" s="318"/>
      <c r="H126" s="318"/>
      <c r="I126" s="318"/>
      <c r="J126" s="318"/>
      <c r="K126" s="317">
        <f ca="1">IF(AND(G125=I125,H125=0,J125=0,K125=7),1,IF(H125&gt;0,IF(J125&gt;0,4,2),3))</f>
        <v>1</v>
      </c>
      <c r="L126" s="319" t="s">
        <v>374</v>
      </c>
      <c r="M126" s="318"/>
      <c r="N126" s="318"/>
      <c r="O126" s="88"/>
      <c r="P126" s="88"/>
      <c r="Q126" s="88"/>
      <c r="R126" s="1276" t="s">
        <v>172</v>
      </c>
      <c r="S126" s="1276"/>
      <c r="T126" s="1276"/>
      <c r="U126" s="1276"/>
      <c r="V126" s="1276"/>
      <c r="W126" s="1276"/>
      <c r="X126" s="1276"/>
      <c r="Y126" s="1276"/>
      <c r="Z126" s="88"/>
      <c r="AA126" s="522"/>
      <c r="AB126" s="522"/>
      <c r="AC126" s="522"/>
      <c r="AD126" s="522"/>
      <c r="AE126" s="522"/>
      <c r="AF126" s="522"/>
      <c r="AG126" s="522"/>
      <c r="AH126" s="88"/>
    </row>
    <row r="127" spans="2:34" ht="15" hidden="1" customHeight="1" x14ac:dyDescent="0.25">
      <c r="B127" s="321" t="s">
        <v>375</v>
      </c>
      <c r="C127" s="322"/>
      <c r="D127" s="322"/>
      <c r="E127" s="322"/>
      <c r="F127" s="322"/>
      <c r="G127" s="322"/>
      <c r="H127" s="322"/>
      <c r="I127" s="322"/>
      <c r="J127" s="322"/>
      <c r="K127" s="322"/>
      <c r="L127" s="322"/>
      <c r="M127" s="322"/>
      <c r="N127" s="322"/>
      <c r="O127" s="88"/>
      <c r="P127" s="88"/>
      <c r="Q127" s="88"/>
      <c r="R127" s="1276"/>
      <c r="S127" s="1276"/>
      <c r="T127" s="1276"/>
      <c r="U127" s="1276"/>
      <c r="V127" s="1276"/>
      <c r="W127" s="1276"/>
      <c r="X127" s="1276"/>
      <c r="Y127" s="1276"/>
      <c r="Z127" s="88"/>
      <c r="AA127" s="522"/>
      <c r="AB127" s="523" t="s">
        <v>528</v>
      </c>
      <c r="AC127" s="522"/>
      <c r="AD127" s="522"/>
      <c r="AE127" s="522"/>
      <c r="AF127" s="522"/>
      <c r="AG127" s="522"/>
      <c r="AH127" s="88"/>
    </row>
    <row r="128" spans="2:34" hidden="1" x14ac:dyDescent="0.25">
      <c r="B128" s="1277" t="str">
        <f ca="1">IF(K125&lt;4,Taal04!$B$231,Taal04!$B$230)</f>
        <v>De deelnamecode kan niet worden gegenereerd door het ontbreken van gegevens of foutieve waarden. Het gaat om het volgende onderdeel</v>
      </c>
      <c r="C128" s="1278"/>
      <c r="D128" s="1278"/>
      <c r="E128" s="1278"/>
      <c r="F128" s="1278"/>
      <c r="G128" s="1278"/>
      <c r="H128" s="1278"/>
      <c r="I128" s="1278"/>
      <c r="J128" s="1278"/>
      <c r="K128" s="1278"/>
      <c r="L128" s="1278"/>
      <c r="M128" s="1279"/>
      <c r="N128" s="322"/>
      <c r="O128" s="88"/>
      <c r="P128" s="88"/>
      <c r="Q128" s="88"/>
      <c r="R128" s="1287" t="s">
        <v>299</v>
      </c>
      <c r="S128" s="1287"/>
      <c r="T128" s="1287"/>
      <c r="U128" s="1287"/>
      <c r="V128" s="1287"/>
      <c r="W128" s="1288"/>
      <c r="X128" s="109">
        <f>Reglement!Q81</f>
        <v>1</v>
      </c>
      <c r="Y128" s="142"/>
      <c r="Z128" s="88"/>
      <c r="AA128" s="522"/>
      <c r="AB128" s="1280" t="str">
        <f ca="1">Taal04!B233</f>
        <v>Dit deelname formulier betreft een demo-versie voor het EK 2024 in Duitsland. Het generenen van een deelnamecode is hierin uitgeschakeld ongeacht of alle onderdelen juist zijn ingevuld.</v>
      </c>
      <c r="AC128" s="1280"/>
      <c r="AD128" s="1280"/>
      <c r="AE128" s="1280"/>
      <c r="AF128" s="1280"/>
      <c r="AG128" s="522"/>
      <c r="AH128" s="88"/>
    </row>
    <row r="129" spans="2:34" hidden="1" x14ac:dyDescent="0.25">
      <c r="B129" s="1277" t="str">
        <f>": "</f>
        <v xml:space="preserve">: </v>
      </c>
      <c r="C129" s="1278"/>
      <c r="D129" s="1278"/>
      <c r="E129" s="1278"/>
      <c r="F129" s="1278"/>
      <c r="G129" s="1278"/>
      <c r="H129" s="1278"/>
      <c r="I129" s="1278"/>
      <c r="J129" s="1278"/>
      <c r="K129" s="1278"/>
      <c r="L129" s="1278"/>
      <c r="M129" s="1279"/>
      <c r="N129" s="322"/>
      <c r="O129" s="88"/>
      <c r="P129" s="88"/>
      <c r="Q129" s="88"/>
      <c r="R129" s="1282" t="str">
        <f ca="1">Taal04!B232</f>
        <v>De deelnamecode kan niet worden gegenereerd door het ontbreken van het reglement. Vraag uw organisator om het reglement toe te voegen aan uw deelname formulier.</v>
      </c>
      <c r="S129" s="1282"/>
      <c r="T129" s="1282"/>
      <c r="U129" s="1282"/>
      <c r="V129" s="1282"/>
      <c r="W129" s="1282"/>
      <c r="X129" s="1282"/>
      <c r="Y129" s="1282"/>
      <c r="Z129" s="88"/>
      <c r="AA129" s="522"/>
      <c r="AB129" s="1280"/>
      <c r="AC129" s="1280"/>
      <c r="AD129" s="1280"/>
      <c r="AE129" s="1280"/>
      <c r="AF129" s="1280"/>
      <c r="AG129" s="522"/>
      <c r="AH129" s="88"/>
    </row>
    <row r="130" spans="2:34" ht="15" hidden="1" customHeight="1" x14ac:dyDescent="0.25">
      <c r="B130" s="1285" t="str">
        <f>IF(K118="GOED","",B118)</f>
        <v/>
      </c>
      <c r="C130" s="1285"/>
      <c r="D130" s="1285"/>
      <c r="E130" s="1285"/>
      <c r="F130" s="1285"/>
      <c r="G130" s="1285"/>
      <c r="H130" s="52" t="str">
        <f>IF(B130="","",IF(AND(B131="",B132="",I130="",I131="",I132="",I133=""),"",", "))</f>
        <v/>
      </c>
      <c r="I130" s="1285" t="str">
        <f ca="1">IF(K121="GOED","",B121)</f>
        <v/>
      </c>
      <c r="J130" s="1285"/>
      <c r="K130" s="1285"/>
      <c r="L130" s="1285"/>
      <c r="M130" s="52" t="str">
        <f ca="1">IF(I130="","",IF(AND(I131="",I132="",I133=""),"",", "))</f>
        <v/>
      </c>
      <c r="N130" s="322"/>
      <c r="O130" s="88"/>
      <c r="P130" s="88"/>
      <c r="Q130" s="88"/>
      <c r="R130" s="1282"/>
      <c r="S130" s="1282"/>
      <c r="T130" s="1282"/>
      <c r="U130" s="1282"/>
      <c r="V130" s="1282"/>
      <c r="W130" s="1282"/>
      <c r="X130" s="1282"/>
      <c r="Y130" s="1282"/>
      <c r="Z130" s="88"/>
      <c r="AA130" s="522"/>
      <c r="AB130" s="1280"/>
      <c r="AC130" s="1280"/>
      <c r="AD130" s="1280"/>
      <c r="AE130" s="1280"/>
      <c r="AF130" s="1280"/>
      <c r="AG130" s="522"/>
      <c r="AH130" s="88"/>
    </row>
    <row r="131" spans="2:34" ht="15" hidden="1" customHeight="1" x14ac:dyDescent="0.25">
      <c r="B131" s="1285" t="str">
        <f ca="1">IF(K119="GOED","",B119)</f>
        <v/>
      </c>
      <c r="C131" s="1285"/>
      <c r="D131" s="1285"/>
      <c r="E131" s="1285"/>
      <c r="F131" s="1285"/>
      <c r="G131" s="1285"/>
      <c r="H131" s="52" t="str">
        <f ca="1">IF(B131="","",IF(AND(B132="",I130="",I131="",I132="",I133=""),"",", "))</f>
        <v/>
      </c>
      <c r="I131" s="1285" t="str">
        <f ca="1">IF(K122="GOED","",B122)</f>
        <v/>
      </c>
      <c r="J131" s="1285"/>
      <c r="K131" s="1285"/>
      <c r="L131" s="1285"/>
      <c r="M131" s="52" t="str">
        <f ca="1">IF(I131="","",IF(AND(I132="",I133=""),"",", "))</f>
        <v/>
      </c>
      <c r="N131" s="322"/>
      <c r="O131" s="88"/>
      <c r="P131" s="88"/>
      <c r="Q131" s="88"/>
      <c r="R131" s="80"/>
      <c r="S131" s="80"/>
      <c r="T131" s="80"/>
      <c r="U131" s="80"/>
      <c r="V131" s="80"/>
      <c r="W131" s="80"/>
      <c r="X131" s="80"/>
      <c r="Y131" s="80"/>
      <c r="Z131" s="88"/>
      <c r="AA131" s="522"/>
      <c r="AB131" s="1280"/>
      <c r="AC131" s="1280"/>
      <c r="AD131" s="1280"/>
      <c r="AE131" s="1280"/>
      <c r="AF131" s="1280"/>
      <c r="AG131" s="522"/>
      <c r="AH131" s="88"/>
    </row>
    <row r="132" spans="2:34" hidden="1" x14ac:dyDescent="0.25">
      <c r="B132" s="1285" t="str">
        <f ca="1">IF(K120="GOED","",B120)</f>
        <v/>
      </c>
      <c r="C132" s="1285"/>
      <c r="D132" s="1285"/>
      <c r="E132" s="1285"/>
      <c r="F132" s="1285"/>
      <c r="G132" s="1285"/>
      <c r="H132" s="52" t="str">
        <f ca="1">IF(B132="","",IF(AND(I130="",I131="",I132="",I133=""),"",", "))</f>
        <v/>
      </c>
      <c r="I132" s="1285" t="str">
        <f>IF(K123="GOED","",B123)</f>
        <v/>
      </c>
      <c r="J132" s="1285"/>
      <c r="K132" s="1285"/>
      <c r="L132" s="1285"/>
      <c r="M132" s="52" t="str">
        <f>IF(I132="","",IF(I133="","",", "))</f>
        <v/>
      </c>
      <c r="N132" s="322"/>
      <c r="O132" s="88"/>
      <c r="P132" s="88"/>
      <c r="Q132" s="88"/>
      <c r="R132" s="1286" t="s">
        <v>148</v>
      </c>
      <c r="S132" s="1286"/>
      <c r="T132" s="1286"/>
      <c r="U132" s="1286"/>
      <c r="V132" s="1286"/>
      <c r="W132" s="1286"/>
      <c r="X132" s="1286"/>
      <c r="Y132" s="1286"/>
      <c r="Z132" s="88"/>
      <c r="AA132" s="522"/>
      <c r="AB132" s="522"/>
      <c r="AC132" s="522"/>
      <c r="AD132" s="522"/>
      <c r="AE132" s="522"/>
      <c r="AF132" s="522"/>
      <c r="AG132" s="522"/>
      <c r="AH132" s="88"/>
    </row>
    <row r="133" spans="2:34" ht="15" hidden="1" customHeight="1" x14ac:dyDescent="0.25">
      <c r="B133" s="322"/>
      <c r="C133" s="322"/>
      <c r="D133" s="322"/>
      <c r="E133" s="322"/>
      <c r="F133" s="322"/>
      <c r="G133" s="322"/>
      <c r="H133" s="322"/>
      <c r="I133" s="1285" t="str">
        <f>IF(K124="GOED","",B124)</f>
        <v/>
      </c>
      <c r="J133" s="1285"/>
      <c r="K133" s="1285"/>
      <c r="L133" s="1285"/>
      <c r="M133" s="52" t="s">
        <v>376</v>
      </c>
      <c r="N133" s="322"/>
      <c r="O133" s="88"/>
      <c r="P133" s="88"/>
      <c r="Q133" s="88"/>
      <c r="R133" s="1286"/>
      <c r="S133" s="1286"/>
      <c r="T133" s="1286"/>
      <c r="U133" s="1286"/>
      <c r="V133" s="1286"/>
      <c r="W133" s="1286"/>
      <c r="X133" s="1286"/>
      <c r="Y133" s="1286"/>
      <c r="Z133" s="88"/>
      <c r="AA133" s="522"/>
      <c r="AB133" s="523" t="s">
        <v>1170</v>
      </c>
      <c r="AC133" s="522"/>
      <c r="AD133" s="522"/>
      <c r="AE133" s="522"/>
      <c r="AF133" s="109">
        <f>Reglement!$G$140</f>
        <v>2</v>
      </c>
      <c r="AG133" s="522"/>
      <c r="AH133" s="88"/>
    </row>
    <row r="134" spans="2:34" hidden="1" x14ac:dyDescent="0.25">
      <c r="B134" s="321" t="s">
        <v>2153</v>
      </c>
      <c r="C134" s="322"/>
      <c r="D134" s="322"/>
      <c r="E134" s="322"/>
      <c r="F134" s="322"/>
      <c r="G134" s="322"/>
      <c r="H134" s="322"/>
      <c r="I134" s="322"/>
      <c r="J134" s="322"/>
      <c r="K134" s="322"/>
      <c r="L134" s="322"/>
      <c r="M134" s="322"/>
      <c r="N134" s="322"/>
      <c r="O134" s="88"/>
      <c r="P134" s="88"/>
      <c r="Q134" s="88"/>
      <c r="R134" s="326"/>
      <c r="S134" s="326"/>
      <c r="T134" s="326"/>
      <c r="U134" s="326"/>
      <c r="V134" s="109" t="str">
        <f>"|"&amp;RIGHT(O48,2)</f>
        <v>|dh</v>
      </c>
      <c r="W134" s="80"/>
      <c r="X134" s="80"/>
      <c r="Y134" s="80"/>
      <c r="Z134" s="88"/>
      <c r="AA134" s="522"/>
      <c r="AB134" s="819" t="str">
        <f ca="1">V134&amp;T69&amp;IF(T86="NVT","",T79)&amp;T89&amp;T99&amp;T62&amp;"|"&amp;IF(T111="NVT","",T105)&amp;IF(AD66="GOED",AD62&amp;"]","")</f>
        <v>|dh|20|11|22|21|02|01|13|01|21|02|21|30|20|21|01|12|21|21|00|12|12|12|12|30|12|02|03|10|20|20|40|11|21|12|02|23|DE.CH.HU.SC|ES.HR.IT.AL|GB.DK.RS.SI|FR.NL.AT.PL|BE.UA.SK.RO|PT.TR.CZ.GE|CHHR12|DEDK21|GBSK20|ESAT31|NLUA31|PTIT11|BERS21|FRTR10|ESDE11|PTNL22|GBHR21|BEFR12|DEPT21|FRGB21|DEFR11|FR||Eric#*Martens#*(Bisbee)23||e.martens@bisbee.nl19]</v>
      </c>
      <c r="AC134" s="819"/>
      <c r="AD134" s="819"/>
      <c r="AE134" s="522"/>
      <c r="AF134" s="522"/>
      <c r="AG134" s="522"/>
      <c r="AH134" s="88"/>
    </row>
    <row r="135" spans="2:34" hidden="1" x14ac:dyDescent="0.25">
      <c r="B135" s="1277" t="str">
        <f ca="1">IF(OR(F134=1,AF133=3),AB128,V134&amp;T69&amp;IF(T86="NVT","",T79)&amp;T89&amp;T99&amp;T62&amp;"|"&amp;IF(T111="NVT","",T105)&amp;IF(AD66="GOED",AD62&amp;"]","")&amp;IF(T116="NVT","",T114)&amp;IF(AF133=0,"BETA",""))</f>
        <v>|dh|20|11|22|21|02|01|13|01|21|02|21|30|20|21|01|12|21|21|00|12|12|12|12|30|12|02|03|10|20|20|40|11|21|12|02|23|DE.CH.HU.SC|ES.HR.IT.AL|GB.DK.RS.SI|FR.NL.AT.PL|BE.UA.SK.RO|PT.TR.CZ.GE|CHHR12|DEDK21|GBSK20|ESAT31|NLUA31|PTIT11|BERS21|FRTR10|ESDE11|PTNL22|GBHR21|BEFR12|DEPT21|FRGB21|DEFR11|FR||Eric#*Martens#*(Bisbee)23||e.martens@bisbee.nl19]</v>
      </c>
      <c r="C135" s="1278"/>
      <c r="D135" s="1278"/>
      <c r="E135" s="1278"/>
      <c r="F135" s="1278"/>
      <c r="G135" s="1278"/>
      <c r="H135" s="1278"/>
      <c r="I135" s="1278"/>
      <c r="J135" s="1278"/>
      <c r="K135" s="1278"/>
      <c r="L135" s="1278"/>
      <c r="M135" s="1278"/>
      <c r="N135" s="1279"/>
      <c r="O135" s="88"/>
      <c r="P135" s="88"/>
      <c r="Q135" s="88"/>
      <c r="R135" s="80"/>
      <c r="S135" s="80"/>
      <c r="T135" s="80"/>
      <c r="U135" s="80"/>
      <c r="V135" s="80"/>
      <c r="W135" s="80"/>
      <c r="X135" s="80"/>
      <c r="Y135" s="80"/>
      <c r="Z135" s="88"/>
      <c r="AA135" s="522"/>
      <c r="AB135" s="522"/>
      <c r="AC135" s="522"/>
      <c r="AD135" s="522"/>
      <c r="AE135" s="522"/>
      <c r="AF135" s="524" t="s">
        <v>872</v>
      </c>
      <c r="AG135" s="522"/>
      <c r="AH135" s="88"/>
    </row>
    <row r="136" spans="2:34" hidden="1" x14ac:dyDescent="0.25">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522"/>
      <c r="AB136" s="522"/>
      <c r="AC136" s="522"/>
      <c r="AD136" s="522"/>
      <c r="AE136" s="522"/>
      <c r="AF136" s="522"/>
      <c r="AG136" s="522"/>
      <c r="AH136" s="88"/>
    </row>
    <row r="137" spans="2:34" hidden="1" x14ac:dyDescent="0.25">
      <c r="B137" s="88"/>
      <c r="C137" s="5" t="str">
        <f ca="1">E40</f>
        <v>|dh|20|11|22|21|02|01|13|01|21|02|21|30|20|21|01|12|21|21|00|12|12|12|12|30|12|02|03|10|20|20|40|11|21|12|02|23|DE.CH.HU.SC|ES.HR.IT.AL|GB.DK.RS.SI|FR.NL.AT.PL|BE.UA.SK.RO|PT.TR.CZ.GE|CHHR12|DEDK21|GBSK20|ESAT31|NLUA31|PTIT11|BERS21|FRTR10|ESDE11|PTNL22|GBHR21|BEFR12|DEPT21|FRGB21|DEFR11|FR||Eric#*Martens#*(Bisbee)23||e.martens@bisbee.nl19]</v>
      </c>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row>
    <row r="138" spans="2:34" hidden="1" x14ac:dyDescent="0.25">
      <c r="S138" s="44"/>
    </row>
    <row r="139" spans="2:34" hidden="1" x14ac:dyDescent="0.25">
      <c r="S139" s="44"/>
    </row>
    <row r="140" spans="2:34" hidden="1" x14ac:dyDescent="0.25">
      <c r="S140" s="44"/>
    </row>
    <row r="141" spans="2:34" hidden="1" x14ac:dyDescent="0.25">
      <c r="S141" s="44"/>
    </row>
    <row r="142" spans="2:34" hidden="1" x14ac:dyDescent="0.25">
      <c r="S142" s="44"/>
    </row>
    <row r="143" spans="2:34" hidden="1" x14ac:dyDescent="0.25">
      <c r="S143" s="44"/>
    </row>
    <row r="144" spans="2:34" hidden="1" x14ac:dyDescent="0.25">
      <c r="S144" s="44"/>
    </row>
    <row r="145" spans="19:19" hidden="1" x14ac:dyDescent="0.25">
      <c r="S145" s="44"/>
    </row>
    <row r="146" spans="19:19" hidden="1" x14ac:dyDescent="0.25">
      <c r="S146" s="44"/>
    </row>
    <row r="147" spans="19:19" hidden="1" x14ac:dyDescent="0.25">
      <c r="S147" s="44"/>
    </row>
    <row r="148" spans="19:19" hidden="1" x14ac:dyDescent="0.25">
      <c r="S148" s="44"/>
    </row>
    <row r="149" spans="19:19" hidden="1" x14ac:dyDescent="0.25">
      <c r="S149" s="44"/>
    </row>
    <row r="150" spans="19:19" hidden="1" x14ac:dyDescent="0.25">
      <c r="S150" s="44"/>
    </row>
    <row r="151" spans="19:19" x14ac:dyDescent="0.25">
      <c r="S151" s="44"/>
    </row>
    <row r="152" spans="19:19" x14ac:dyDescent="0.25">
      <c r="S152" s="44"/>
    </row>
    <row r="153" spans="19:19" x14ac:dyDescent="0.25">
      <c r="S153" s="44"/>
    </row>
  </sheetData>
  <sheetProtection algorithmName="SHA-512" hashValue="VJXZWINx5DTEwPIAPX5d3ovGpR0IA/q3mGcgACnUIsI5NgQuyrxhpUURzUzYto2Aj3pfXljJ8jxtsZz3Xj//+Q==" saltValue="Qq6F4v8ot32m4gXKFRYVTA==" spinCount="100000" sheet="1" objects="1" scenarios="1" selectLockedCells="1"/>
  <mergeCells count="126">
    <mergeCell ref="B135:N135"/>
    <mergeCell ref="B129:M129"/>
    <mergeCell ref="B116:C116"/>
    <mergeCell ref="B64:C64"/>
    <mergeCell ref="B66:C66"/>
    <mergeCell ref="B68:C68"/>
    <mergeCell ref="I131:L131"/>
    <mergeCell ref="B123:F123"/>
    <mergeCell ref="B101:C101"/>
    <mergeCell ref="B69:C69"/>
    <mergeCell ref="B100:C100"/>
    <mergeCell ref="B95:C95"/>
    <mergeCell ref="B96:C96"/>
    <mergeCell ref="B97:C97"/>
    <mergeCell ref="I133:L133"/>
    <mergeCell ref="B118:F118"/>
    <mergeCell ref="B117:F117"/>
    <mergeCell ref="Z53:AC53"/>
    <mergeCell ref="T52:T59"/>
    <mergeCell ref="P123:R123"/>
    <mergeCell ref="B125:F125"/>
    <mergeCell ref="B132:G132"/>
    <mergeCell ref="I132:L132"/>
    <mergeCell ref="R132:Y133"/>
    <mergeCell ref="B131:G131"/>
    <mergeCell ref="B102:C102"/>
    <mergeCell ref="B103:C103"/>
    <mergeCell ref="B104:C104"/>
    <mergeCell ref="B105:C105"/>
    <mergeCell ref="B109:C109"/>
    <mergeCell ref="B110:C110"/>
    <mergeCell ref="B111:C111"/>
    <mergeCell ref="B112:C112"/>
    <mergeCell ref="B113:C113"/>
    <mergeCell ref="B114:C114"/>
    <mergeCell ref="B99:C99"/>
    <mergeCell ref="B90:C90"/>
    <mergeCell ref="B91:C91"/>
    <mergeCell ref="R128:W128"/>
    <mergeCell ref="B130:G130"/>
    <mergeCell ref="I130:L130"/>
    <mergeCell ref="R126:Y127"/>
    <mergeCell ref="B128:M128"/>
    <mergeCell ref="B75:C75"/>
    <mergeCell ref="B76:C76"/>
    <mergeCell ref="B77:C77"/>
    <mergeCell ref="AB128:AF131"/>
    <mergeCell ref="O88:O96"/>
    <mergeCell ref="O78:O86"/>
    <mergeCell ref="O68:O76"/>
    <mergeCell ref="R129:Y130"/>
    <mergeCell ref="B119:F119"/>
    <mergeCell ref="B120:F120"/>
    <mergeCell ref="B121:F121"/>
    <mergeCell ref="B122:F122"/>
    <mergeCell ref="B85:C85"/>
    <mergeCell ref="B93:C93"/>
    <mergeCell ref="B94:C94"/>
    <mergeCell ref="B84:C84"/>
    <mergeCell ref="B50:Q50"/>
    <mergeCell ref="B65:C65"/>
    <mergeCell ref="B67:C67"/>
    <mergeCell ref="B63:C63"/>
    <mergeCell ref="B79:C79"/>
    <mergeCell ref="B80:C80"/>
    <mergeCell ref="B81:C81"/>
    <mergeCell ref="B82:C82"/>
    <mergeCell ref="B83:C83"/>
    <mergeCell ref="B72:C72"/>
    <mergeCell ref="B73:C73"/>
    <mergeCell ref="B74:C74"/>
    <mergeCell ref="B78:C78"/>
    <mergeCell ref="O52:Q52"/>
    <mergeCell ref="O53:Q53"/>
    <mergeCell ref="O54:Q54"/>
    <mergeCell ref="O55:Q55"/>
    <mergeCell ref="O56:Q56"/>
    <mergeCell ref="O59:Q59"/>
    <mergeCell ref="AD53:AF53"/>
    <mergeCell ref="B98:C98"/>
    <mergeCell ref="D18:P18"/>
    <mergeCell ref="D19:P19"/>
    <mergeCell ref="B106:C106"/>
    <mergeCell ref="B107:C107"/>
    <mergeCell ref="B108:C108"/>
    <mergeCell ref="B115:C115"/>
    <mergeCell ref="B70:C70"/>
    <mergeCell ref="B71:C71"/>
    <mergeCell ref="D29:P29"/>
    <mergeCell ref="D48:I48"/>
    <mergeCell ref="D21:P21"/>
    <mergeCell ref="D22:P22"/>
    <mergeCell ref="B86:C86"/>
    <mergeCell ref="B87:C87"/>
    <mergeCell ref="B88:C88"/>
    <mergeCell ref="B89:C89"/>
    <mergeCell ref="D25:P25"/>
    <mergeCell ref="D26:P26"/>
    <mergeCell ref="D27:P27"/>
    <mergeCell ref="E40:N45"/>
    <mergeCell ref="B92:C92"/>
    <mergeCell ref="D28:P28"/>
    <mergeCell ref="D30:P30"/>
    <mergeCell ref="D31:P31"/>
    <mergeCell ref="D32:P32"/>
    <mergeCell ref="D33:P33"/>
    <mergeCell ref="S123:Z124"/>
    <mergeCell ref="B124:F124"/>
    <mergeCell ref="T2:X4"/>
    <mergeCell ref="C2:P2"/>
    <mergeCell ref="D3:F3"/>
    <mergeCell ref="D6:O6"/>
    <mergeCell ref="D7:P7"/>
    <mergeCell ref="D8:P8"/>
    <mergeCell ref="D9:P9"/>
    <mergeCell ref="D10:P10"/>
    <mergeCell ref="D20:P20"/>
    <mergeCell ref="D11:P11"/>
    <mergeCell ref="D12:P12"/>
    <mergeCell ref="D13:P13"/>
    <mergeCell ref="D14:P14"/>
    <mergeCell ref="D15:P15"/>
    <mergeCell ref="D16:P16"/>
    <mergeCell ref="D23:P23"/>
    <mergeCell ref="D24:P24"/>
    <mergeCell ref="D17:P17"/>
  </mergeCells>
  <conditionalFormatting sqref="D3 O3 D5 D36 D48 O48">
    <cfRule type="expression" dxfId="5" priority="10">
      <formula>$A$1="A255255255"</formula>
    </cfRule>
    <cfRule type="expression" dxfId="4" priority="11">
      <formula>$A$1="A000000000"</formula>
    </cfRule>
  </conditionalFormatting>
  <conditionalFormatting sqref="D7:P33">
    <cfRule type="expression" dxfId="3" priority="210">
      <formula>IF(AND(R8-R7&gt;0.5,R8-R7&lt;3),"WAAR","ONWAAR")</formula>
    </cfRule>
    <cfRule type="expression" dxfId="2" priority="211">
      <formula>1*R7=99.9</formula>
    </cfRule>
    <cfRule type="expression" dxfId="1" priority="212">
      <formula>OR(1*R7=10,1*R7=20,R7=25,1*R7=30,1*R7=40,1*R7=50,1*R7=60)</formula>
    </cfRule>
    <cfRule type="expression" dxfId="0" priority="218">
      <formula>1*R7=88.8</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rgb="FFFFC000"/>
  </sheetPr>
  <dimension ref="A1:S419"/>
  <sheetViews>
    <sheetView topLeftCell="J88" zoomScaleNormal="100" workbookViewId="0"/>
  </sheetViews>
  <sheetFormatPr defaultRowHeight="15" x14ac:dyDescent="0.25"/>
  <cols>
    <col min="1" max="1" width="8.7109375" style="528" customWidth="1"/>
    <col min="2" max="2" width="10.7109375" style="528" customWidth="1"/>
    <col min="3" max="19" width="20.7109375" customWidth="1"/>
    <col min="20" max="24" width="50.7109375" customWidth="1"/>
  </cols>
  <sheetData>
    <row r="1" spans="1:6" s="555" customFormat="1" x14ac:dyDescent="0.25">
      <c r="A1" s="556" t="s">
        <v>583</v>
      </c>
      <c r="C1" s="557">
        <f>Taal01!$C$1</f>
        <v>1</v>
      </c>
      <c r="D1" s="822"/>
    </row>
    <row r="2" spans="1:6" s="555" customFormat="1" x14ac:dyDescent="0.25">
      <c r="A2" s="556" t="s">
        <v>584</v>
      </c>
      <c r="C2" s="557">
        <f>$C$1+2</f>
        <v>3</v>
      </c>
      <c r="D2" s="822"/>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865</v>
      </c>
      <c r="B5" s="798"/>
    </row>
    <row r="6" spans="1:6" s="532" customFormat="1" x14ac:dyDescent="0.25">
      <c r="A6" s="535" t="str">
        <f>"02-B-001"</f>
        <v>02-B-001</v>
      </c>
      <c r="B6" s="799" t="str">
        <f t="shared" ref="B6:B45" ca="1" si="0">INDIRECT(CHAR(64+$C$2)&amp;ROW())</f>
        <v>Groep A</v>
      </c>
      <c r="C6" s="548" t="s">
        <v>9</v>
      </c>
      <c r="D6" s="548" t="s">
        <v>561</v>
      </c>
      <c r="E6" s="548" t="s">
        <v>1244</v>
      </c>
      <c r="F6" s="548" t="s">
        <v>1577</v>
      </c>
    </row>
    <row r="7" spans="1:6" s="546" customFormat="1" x14ac:dyDescent="0.25">
      <c r="A7" s="534" t="str">
        <f>LEFT(A6,5)&amp;RIGHT("000"&amp;RIGHT(A6,3)*1+1,3)</f>
        <v>02-B-002</v>
      </c>
      <c r="B7" s="800" t="str">
        <f t="shared" ca="1" si="0"/>
        <v>Duitsland</v>
      </c>
      <c r="C7" s="533" t="s">
        <v>1</v>
      </c>
      <c r="D7" s="533" t="s">
        <v>572</v>
      </c>
      <c r="E7" s="533" t="s">
        <v>1257</v>
      </c>
      <c r="F7" s="533" t="s">
        <v>1586</v>
      </c>
    </row>
    <row r="8" spans="1:6" s="532" customFormat="1" x14ac:dyDescent="0.25">
      <c r="A8" s="535" t="str">
        <f t="shared" ref="A8:A23" si="1">LEFT(A7,5)&amp;RIGHT("000"&amp;RIGHT(A7,3)*1+1,3)</f>
        <v>02-B-003</v>
      </c>
      <c r="B8" s="789" t="str">
        <f t="shared" ca="1" si="0"/>
        <v>Schotland</v>
      </c>
      <c r="C8" s="532" t="s">
        <v>2189</v>
      </c>
      <c r="D8" s="532" t="s">
        <v>2191</v>
      </c>
      <c r="E8" s="532" t="s">
        <v>2189</v>
      </c>
      <c r="F8" s="532" t="s">
        <v>2216</v>
      </c>
    </row>
    <row r="9" spans="1:6" s="533" customFormat="1" x14ac:dyDescent="0.25">
      <c r="A9" s="534" t="str">
        <f t="shared" si="1"/>
        <v>02-B-004</v>
      </c>
      <c r="B9" s="800" t="str">
        <f t="shared" ca="1" si="0"/>
        <v>Hongarije</v>
      </c>
      <c r="C9" s="533" t="s">
        <v>2190</v>
      </c>
      <c r="D9" s="533" t="s">
        <v>2192</v>
      </c>
      <c r="E9" s="533" t="s">
        <v>2205</v>
      </c>
      <c r="F9" s="533" t="s">
        <v>2217</v>
      </c>
    </row>
    <row r="10" spans="1:6" s="532" customFormat="1" x14ac:dyDescent="0.25">
      <c r="A10" s="535" t="str">
        <f t="shared" si="1"/>
        <v>02-B-005</v>
      </c>
      <c r="B10" s="789" t="str">
        <f t="shared" ca="1" si="0"/>
        <v>Zwitserland</v>
      </c>
      <c r="C10" s="532" t="s">
        <v>851</v>
      </c>
      <c r="D10" s="532" t="s">
        <v>570</v>
      </c>
      <c r="E10" s="532" t="s">
        <v>1245</v>
      </c>
      <c r="F10" s="532" t="s">
        <v>1245</v>
      </c>
    </row>
    <row r="11" spans="1:6" s="533" customFormat="1" x14ac:dyDescent="0.25">
      <c r="A11" s="534" t="str">
        <f t="shared" si="1"/>
        <v>02-B-006</v>
      </c>
      <c r="B11" s="786" t="str">
        <f t="shared" ca="1" si="0"/>
        <v>Groep B</v>
      </c>
      <c r="C11" s="546" t="s">
        <v>14</v>
      </c>
      <c r="D11" s="546" t="s">
        <v>562</v>
      </c>
      <c r="E11" s="546" t="s">
        <v>1246</v>
      </c>
      <c r="F11" s="546" t="s">
        <v>1578</v>
      </c>
    </row>
    <row r="12" spans="1:6" s="548" customFormat="1" x14ac:dyDescent="0.25">
      <c r="A12" s="547" t="str">
        <f t="shared" si="1"/>
        <v>02-B-007</v>
      </c>
      <c r="B12" s="789" t="str">
        <f t="shared" ca="1" si="0"/>
        <v>Spanje</v>
      </c>
      <c r="C12" s="532" t="s">
        <v>856</v>
      </c>
      <c r="D12" s="532" t="s">
        <v>563</v>
      </c>
      <c r="E12" s="532" t="s">
        <v>1254</v>
      </c>
      <c r="F12" s="532" t="s">
        <v>1254</v>
      </c>
    </row>
    <row r="13" spans="1:6" s="533" customFormat="1" x14ac:dyDescent="0.25">
      <c r="A13" s="534" t="str">
        <f t="shared" si="1"/>
        <v>02-B-008</v>
      </c>
      <c r="B13" s="800" t="str">
        <f t="shared" ca="1" si="0"/>
        <v>Kroatië</v>
      </c>
      <c r="C13" s="533" t="s">
        <v>855</v>
      </c>
      <c r="D13" s="533" t="s">
        <v>568</v>
      </c>
      <c r="E13" s="533" t="s">
        <v>1252</v>
      </c>
      <c r="F13" s="533" t="s">
        <v>1252</v>
      </c>
    </row>
    <row r="14" spans="1:6" s="532" customFormat="1" x14ac:dyDescent="0.25">
      <c r="A14" s="535" t="str">
        <f t="shared" si="1"/>
        <v>02-B-009</v>
      </c>
      <c r="B14" s="789" t="str">
        <f t="shared" ca="1" si="0"/>
        <v>Italië</v>
      </c>
      <c r="C14" s="532" t="s">
        <v>2193</v>
      </c>
      <c r="D14" s="532" t="s">
        <v>2194</v>
      </c>
      <c r="E14" s="532" t="s">
        <v>2206</v>
      </c>
      <c r="F14" s="532" t="s">
        <v>2206</v>
      </c>
    </row>
    <row r="15" spans="1:6" s="533" customFormat="1" x14ac:dyDescent="0.25">
      <c r="A15" s="534" t="str">
        <f t="shared" si="1"/>
        <v>02-B-010</v>
      </c>
      <c r="B15" s="800" t="str">
        <f t="shared" ca="1" si="0"/>
        <v>Albanië</v>
      </c>
      <c r="C15" s="538" t="s">
        <v>2195</v>
      </c>
      <c r="D15" s="538" t="s">
        <v>2196</v>
      </c>
      <c r="E15" s="538" t="s">
        <v>2207</v>
      </c>
      <c r="F15" s="538" t="s">
        <v>2207</v>
      </c>
    </row>
    <row r="16" spans="1:6" s="532" customFormat="1" x14ac:dyDescent="0.25">
      <c r="A16" s="535" t="str">
        <f t="shared" si="1"/>
        <v>02-B-011</v>
      </c>
      <c r="B16" s="799" t="str">
        <f t="shared" ca="1" si="0"/>
        <v>Groep C</v>
      </c>
      <c r="C16" s="548" t="s">
        <v>22</v>
      </c>
      <c r="D16" s="548" t="s">
        <v>564</v>
      </c>
      <c r="E16" s="548" t="s">
        <v>1249</v>
      </c>
      <c r="F16" s="548" t="s">
        <v>1580</v>
      </c>
    </row>
    <row r="17" spans="1:6" s="546" customFormat="1" x14ac:dyDescent="0.25">
      <c r="A17" s="545" t="str">
        <f t="shared" si="1"/>
        <v>02-B-012</v>
      </c>
      <c r="B17" s="800" t="str">
        <f t="shared" ca="1" si="0"/>
        <v>Slovenië</v>
      </c>
      <c r="C17" s="533" t="s">
        <v>2197</v>
      </c>
      <c r="D17" s="533" t="s">
        <v>2198</v>
      </c>
      <c r="E17" s="533" t="s">
        <v>2209</v>
      </c>
      <c r="F17" s="533" t="s">
        <v>2208</v>
      </c>
    </row>
    <row r="18" spans="1:6" s="532" customFormat="1" x14ac:dyDescent="0.25">
      <c r="A18" s="535" t="str">
        <f t="shared" si="1"/>
        <v>02-B-013</v>
      </c>
      <c r="B18" s="789" t="str">
        <f t="shared" ca="1" si="0"/>
        <v>Denemarken</v>
      </c>
      <c r="C18" s="532" t="s">
        <v>852</v>
      </c>
      <c r="D18" s="532" t="s">
        <v>566</v>
      </c>
      <c r="E18" s="532" t="s">
        <v>1247</v>
      </c>
      <c r="F18" s="532" t="s">
        <v>1579</v>
      </c>
    </row>
    <row r="19" spans="1:6" s="533" customFormat="1" x14ac:dyDescent="0.25">
      <c r="A19" s="534" t="str">
        <f t="shared" si="1"/>
        <v>02-B-014</v>
      </c>
      <c r="B19" s="800" t="str">
        <f t="shared" ca="1" si="0"/>
        <v>Servië</v>
      </c>
      <c r="C19" s="533" t="s">
        <v>1853</v>
      </c>
      <c r="D19" s="533" t="s">
        <v>1854</v>
      </c>
      <c r="E19" s="533" t="s">
        <v>1855</v>
      </c>
      <c r="F19" s="533" t="s">
        <v>1855</v>
      </c>
    </row>
    <row r="20" spans="1:6" s="532" customFormat="1" x14ac:dyDescent="0.25">
      <c r="A20" s="535" t="str">
        <f t="shared" si="1"/>
        <v>02-B-015</v>
      </c>
      <c r="B20" s="789" t="str">
        <f t="shared" ca="1" si="0"/>
        <v>Engeland</v>
      </c>
      <c r="C20" s="532" t="s">
        <v>854</v>
      </c>
      <c r="D20" s="532" t="s">
        <v>575</v>
      </c>
      <c r="E20" s="532" t="s">
        <v>575</v>
      </c>
      <c r="F20" s="532" t="s">
        <v>575</v>
      </c>
    </row>
    <row r="21" spans="1:6" s="533" customFormat="1" x14ac:dyDescent="0.25">
      <c r="A21" s="534" t="str">
        <f t="shared" si="1"/>
        <v>02-B-016</v>
      </c>
      <c r="B21" s="786" t="str">
        <f t="shared" ca="1" si="0"/>
        <v>Groep D</v>
      </c>
      <c r="C21" s="546" t="s">
        <v>23</v>
      </c>
      <c r="D21" s="546" t="s">
        <v>567</v>
      </c>
      <c r="E21" s="546" t="s">
        <v>1251</v>
      </c>
      <c r="F21" s="546" t="s">
        <v>1582</v>
      </c>
    </row>
    <row r="22" spans="1:6" s="548" customFormat="1" x14ac:dyDescent="0.25">
      <c r="A22" s="547" t="str">
        <f t="shared" si="1"/>
        <v>02-B-017</v>
      </c>
      <c r="B22" s="789" t="str">
        <f t="shared" ca="1" si="0"/>
        <v>Polen</v>
      </c>
      <c r="C22" s="532" t="s">
        <v>2466</v>
      </c>
      <c r="D22" s="532" t="s">
        <v>2467</v>
      </c>
      <c r="E22" s="532" t="s">
        <v>2466</v>
      </c>
      <c r="F22" s="532" t="s">
        <v>2466</v>
      </c>
    </row>
    <row r="23" spans="1:6" s="533" customFormat="1" x14ac:dyDescent="0.25">
      <c r="A23" s="534" t="str">
        <f t="shared" si="1"/>
        <v>02-B-018</v>
      </c>
      <c r="B23" s="800" t="str">
        <f t="shared" ca="1" si="0"/>
        <v>Nederland</v>
      </c>
      <c r="C23" s="533" t="s">
        <v>853</v>
      </c>
      <c r="D23" s="533" t="s">
        <v>850</v>
      </c>
      <c r="E23" s="533" t="s">
        <v>1250</v>
      </c>
      <c r="F23" s="533" t="s">
        <v>1581</v>
      </c>
    </row>
    <row r="24" spans="1:6" s="532" customFormat="1" x14ac:dyDescent="0.25">
      <c r="A24" s="535" t="str">
        <f>LEFT(A23,5)&amp;RIGHT("000"&amp;RIGHT(A23,3)*1+1,3)</f>
        <v>02-B-019</v>
      </c>
      <c r="B24" s="789" t="str">
        <f t="shared" ca="1" si="0"/>
        <v>Oostenrijk</v>
      </c>
      <c r="C24" s="532" t="s">
        <v>2232</v>
      </c>
      <c r="D24" s="532" t="s">
        <v>2229</v>
      </c>
      <c r="E24" s="532" t="s">
        <v>2230</v>
      </c>
      <c r="F24" s="532" t="s">
        <v>2231</v>
      </c>
    </row>
    <row r="25" spans="1:6" s="533" customFormat="1" x14ac:dyDescent="0.25">
      <c r="A25" s="534" t="str">
        <f t="shared" ref="A25:A41" si="2">LEFT(A24,5)&amp;RIGHT("000"&amp;RIGHT(A24,3)*1+1,3)</f>
        <v>02-B-020</v>
      </c>
      <c r="B25" s="800" t="str">
        <f t="shared" ca="1" si="0"/>
        <v>Frankrijk</v>
      </c>
      <c r="C25" s="533" t="s">
        <v>465</v>
      </c>
      <c r="D25" s="533" t="s">
        <v>565</v>
      </c>
      <c r="E25" s="533" t="s">
        <v>1256</v>
      </c>
      <c r="F25" s="533" t="s">
        <v>1585</v>
      </c>
    </row>
    <row r="26" spans="1:6" s="532" customFormat="1" x14ac:dyDescent="0.25">
      <c r="A26" s="535" t="str">
        <f t="shared" si="2"/>
        <v>02-B-021</v>
      </c>
      <c r="B26" s="799" t="str">
        <f t="shared" ca="1" si="0"/>
        <v>Groep E</v>
      </c>
      <c r="C26" s="548" t="s">
        <v>105</v>
      </c>
      <c r="D26" s="548" t="s">
        <v>569</v>
      </c>
      <c r="E26" s="548" t="s">
        <v>1253</v>
      </c>
      <c r="F26" s="548" t="s">
        <v>1583</v>
      </c>
    </row>
    <row r="27" spans="1:6" s="546" customFormat="1" x14ac:dyDescent="0.25">
      <c r="A27" s="545" t="str">
        <f t="shared" si="2"/>
        <v>02-B-022</v>
      </c>
      <c r="B27" s="800" t="str">
        <f t="shared" ca="1" si="0"/>
        <v>België</v>
      </c>
      <c r="C27" s="533" t="s">
        <v>463</v>
      </c>
      <c r="D27" s="533" t="s">
        <v>574</v>
      </c>
      <c r="E27" s="533" t="s">
        <v>1248</v>
      </c>
      <c r="F27" s="533" t="s">
        <v>1248</v>
      </c>
    </row>
    <row r="28" spans="1:6" s="532" customFormat="1" x14ac:dyDescent="0.25">
      <c r="A28" s="535" t="str">
        <f t="shared" si="2"/>
        <v>02-B-023</v>
      </c>
      <c r="B28" s="789" t="str">
        <f t="shared" ca="1" si="0"/>
        <v>Slowakije</v>
      </c>
      <c r="C28" s="537" t="s">
        <v>2200</v>
      </c>
      <c r="D28" s="537" t="s">
        <v>2199</v>
      </c>
      <c r="E28" s="537" t="s">
        <v>2210</v>
      </c>
      <c r="F28" s="537" t="s">
        <v>2218</v>
      </c>
    </row>
    <row r="29" spans="1:6" s="533" customFormat="1" x14ac:dyDescent="0.25">
      <c r="A29" s="534" t="str">
        <f t="shared" si="2"/>
        <v>02-B-024</v>
      </c>
      <c r="B29" s="800" t="str">
        <f t="shared" ca="1" si="0"/>
        <v>Roemenië</v>
      </c>
      <c r="C29" s="533" t="s">
        <v>2202</v>
      </c>
      <c r="D29" s="533" t="s">
        <v>2201</v>
      </c>
      <c r="E29" s="533" t="s">
        <v>2211</v>
      </c>
      <c r="F29" s="533" t="s">
        <v>2211</v>
      </c>
    </row>
    <row r="30" spans="1:6" s="532" customFormat="1" x14ac:dyDescent="0.25">
      <c r="A30" s="535" t="str">
        <f t="shared" si="2"/>
        <v>02-B-025</v>
      </c>
      <c r="B30" s="789" t="str">
        <f t="shared" ca="1" si="0"/>
        <v>Oekraïne</v>
      </c>
      <c r="C30" s="532" t="s">
        <v>2468</v>
      </c>
      <c r="D30" s="532" t="s">
        <v>2469</v>
      </c>
      <c r="E30" s="532" t="s">
        <v>2469</v>
      </c>
      <c r="F30" s="532" t="s">
        <v>2473</v>
      </c>
    </row>
    <row r="31" spans="1:6" s="533" customFormat="1" x14ac:dyDescent="0.25">
      <c r="A31" s="534" t="str">
        <f t="shared" si="2"/>
        <v>02-B-026</v>
      </c>
      <c r="B31" s="786" t="str">
        <f t="shared" ca="1" si="0"/>
        <v>Groep F</v>
      </c>
      <c r="C31" s="546" t="s">
        <v>106</v>
      </c>
      <c r="D31" s="546" t="s">
        <v>571</v>
      </c>
      <c r="E31" s="546" t="s">
        <v>1255</v>
      </c>
      <c r="F31" s="546" t="s">
        <v>1584</v>
      </c>
    </row>
    <row r="32" spans="1:6" s="548" customFormat="1" x14ac:dyDescent="0.25">
      <c r="A32" s="547" t="str">
        <f t="shared" si="2"/>
        <v>02-B-027</v>
      </c>
      <c r="B32" s="789" t="str">
        <f t="shared" ca="1" si="0"/>
        <v>Turkije</v>
      </c>
      <c r="C32" s="532" t="s">
        <v>2204</v>
      </c>
      <c r="D32" s="532" t="s">
        <v>2213</v>
      </c>
      <c r="E32" s="532" t="s">
        <v>2212</v>
      </c>
      <c r="F32" s="532" t="s">
        <v>2219</v>
      </c>
    </row>
    <row r="33" spans="1:6" s="533" customFormat="1" x14ac:dyDescent="0.25">
      <c r="A33" s="534" t="str">
        <f t="shared" si="2"/>
        <v>02-B-028</v>
      </c>
      <c r="B33" s="800" t="str">
        <f t="shared" ca="1" si="0"/>
        <v>Georgië</v>
      </c>
      <c r="C33" s="533" t="s">
        <v>2470</v>
      </c>
      <c r="D33" s="533" t="s">
        <v>2471</v>
      </c>
      <c r="E33" s="533" t="s">
        <v>2472</v>
      </c>
      <c r="F33" s="533" t="s">
        <v>2472</v>
      </c>
    </row>
    <row r="34" spans="1:6" s="532" customFormat="1" x14ac:dyDescent="0.25">
      <c r="A34" s="535" t="str">
        <f t="shared" si="2"/>
        <v>02-B-029</v>
      </c>
      <c r="B34" s="789" t="str">
        <f t="shared" ca="1" si="0"/>
        <v>Portugal</v>
      </c>
      <c r="C34" s="532" t="s">
        <v>466</v>
      </c>
      <c r="D34" s="532" t="s">
        <v>466</v>
      </c>
      <c r="E34" s="532" t="s">
        <v>466</v>
      </c>
      <c r="F34" s="532" t="s">
        <v>466</v>
      </c>
    </row>
    <row r="35" spans="1:6" s="533" customFormat="1" x14ac:dyDescent="0.25">
      <c r="A35" s="534" t="str">
        <f t="shared" si="2"/>
        <v>02-B-030</v>
      </c>
      <c r="B35" s="800" t="str">
        <f t="shared" ca="1" si="0"/>
        <v>Tsjechië</v>
      </c>
      <c r="C35" s="533" t="s">
        <v>2203</v>
      </c>
      <c r="D35" s="533" t="s">
        <v>2215</v>
      </c>
      <c r="E35" s="533" t="s">
        <v>2214</v>
      </c>
      <c r="F35" s="533" t="s">
        <v>2220</v>
      </c>
    </row>
    <row r="36" spans="1:6" s="532" customFormat="1" x14ac:dyDescent="0.25">
      <c r="A36" s="535" t="str">
        <f t="shared" si="2"/>
        <v>02-B-031</v>
      </c>
      <c r="B36" s="799" t="str">
        <f t="shared" ca="1" si="0"/>
        <v>Groep G</v>
      </c>
      <c r="C36" s="548" t="s">
        <v>107</v>
      </c>
      <c r="D36" s="548" t="s">
        <v>573</v>
      </c>
      <c r="E36" s="548" t="s">
        <v>1258</v>
      </c>
      <c r="F36" s="548" t="s">
        <v>1587</v>
      </c>
    </row>
    <row r="37" spans="1:6" s="546" customFormat="1" x14ac:dyDescent="0.25">
      <c r="A37" s="545" t="str">
        <f t="shared" si="2"/>
        <v>02-B-032</v>
      </c>
      <c r="B37" s="800" t="str">
        <f t="shared" ca="1" si="0"/>
        <v>ZZZ_land_G1</v>
      </c>
      <c r="C37" s="533" t="s">
        <v>2221</v>
      </c>
      <c r="D37" s="533" t="s">
        <v>2221</v>
      </c>
      <c r="E37" s="533" t="s">
        <v>2221</v>
      </c>
      <c r="F37" s="533" t="s">
        <v>2221</v>
      </c>
    </row>
    <row r="38" spans="1:6" s="532" customFormat="1" x14ac:dyDescent="0.25">
      <c r="A38" s="535" t="str">
        <f t="shared" si="2"/>
        <v>02-B-033</v>
      </c>
      <c r="B38" s="789" t="str">
        <f t="shared" ca="1" si="0"/>
        <v>ZZZ_land_G2</v>
      </c>
      <c r="C38" s="532" t="s">
        <v>2222</v>
      </c>
      <c r="D38" s="532" t="s">
        <v>2222</v>
      </c>
      <c r="E38" s="532" t="s">
        <v>2222</v>
      </c>
      <c r="F38" s="532" t="s">
        <v>2222</v>
      </c>
    </row>
    <row r="39" spans="1:6" s="533" customFormat="1" x14ac:dyDescent="0.25">
      <c r="A39" s="534" t="str">
        <f t="shared" si="2"/>
        <v>02-B-034</v>
      </c>
      <c r="B39" s="800" t="str">
        <f t="shared" ca="1" si="0"/>
        <v>ZZZ_land_G3</v>
      </c>
      <c r="C39" s="533" t="s">
        <v>2223</v>
      </c>
      <c r="D39" s="533" t="s">
        <v>2223</v>
      </c>
      <c r="E39" s="533" t="s">
        <v>2223</v>
      </c>
      <c r="F39" s="533" t="s">
        <v>2223</v>
      </c>
    </row>
    <row r="40" spans="1:6" s="532" customFormat="1" x14ac:dyDescent="0.25">
      <c r="A40" s="535" t="str">
        <f t="shared" si="2"/>
        <v>02-B-035</v>
      </c>
      <c r="B40" s="789" t="str">
        <f t="shared" ca="1" si="0"/>
        <v>ZZZ_land_G4</v>
      </c>
      <c r="C40" s="532" t="s">
        <v>2224</v>
      </c>
      <c r="D40" s="532" t="s">
        <v>2224</v>
      </c>
      <c r="E40" s="532" t="s">
        <v>2224</v>
      </c>
      <c r="F40" s="532" t="s">
        <v>2224</v>
      </c>
    </row>
    <row r="41" spans="1:6" s="533" customFormat="1" x14ac:dyDescent="0.25">
      <c r="A41" s="534" t="str">
        <f t="shared" si="2"/>
        <v>02-B-036</v>
      </c>
      <c r="B41" s="786" t="str">
        <f t="shared" ca="1" si="0"/>
        <v>Groep H</v>
      </c>
      <c r="C41" s="546" t="s">
        <v>108</v>
      </c>
      <c r="D41" s="546" t="s">
        <v>576</v>
      </c>
      <c r="E41" s="546" t="s">
        <v>1259</v>
      </c>
      <c r="F41" s="546" t="s">
        <v>108</v>
      </c>
    </row>
    <row r="42" spans="1:6" s="532" customFormat="1" x14ac:dyDescent="0.25">
      <c r="A42" s="535" t="str">
        <f>LEFT(A41,5)&amp;RIGHT("000"&amp;RIGHT(A41,3)*1+1,3)</f>
        <v>02-B-037</v>
      </c>
      <c r="B42" s="789" t="str">
        <f t="shared" ca="1" si="0"/>
        <v>ZZZ_land_H1</v>
      </c>
      <c r="C42" s="532" t="s">
        <v>2225</v>
      </c>
      <c r="D42" s="532" t="s">
        <v>2225</v>
      </c>
      <c r="E42" s="532" t="s">
        <v>2225</v>
      </c>
      <c r="F42" s="532" t="s">
        <v>2225</v>
      </c>
    </row>
    <row r="43" spans="1:6" s="533" customFormat="1" x14ac:dyDescent="0.25">
      <c r="A43" s="534" t="str">
        <f t="shared" ref="A43:A89" si="3">LEFT(A42,5)&amp;RIGHT("000"&amp;RIGHT(A42,3)*1+1,3)</f>
        <v>02-B-038</v>
      </c>
      <c r="B43" s="800" t="str">
        <f t="shared" ca="1" si="0"/>
        <v>ZZZ_land_H2</v>
      </c>
      <c r="C43" s="533" t="s">
        <v>2226</v>
      </c>
      <c r="D43" s="533" t="s">
        <v>2226</v>
      </c>
      <c r="E43" s="533" t="s">
        <v>2226</v>
      </c>
      <c r="F43" s="533" t="s">
        <v>2226</v>
      </c>
    </row>
    <row r="44" spans="1:6" s="532" customFormat="1" x14ac:dyDescent="0.25">
      <c r="A44" s="535" t="str">
        <f t="shared" si="3"/>
        <v>02-B-039</v>
      </c>
      <c r="B44" s="789" t="str">
        <f t="shared" ca="1" si="0"/>
        <v>ZZZ_land_H3</v>
      </c>
      <c r="C44" s="532" t="s">
        <v>2227</v>
      </c>
      <c r="D44" s="532" t="s">
        <v>2227</v>
      </c>
      <c r="E44" s="532" t="s">
        <v>2227</v>
      </c>
      <c r="F44" s="532" t="s">
        <v>2227</v>
      </c>
    </row>
    <row r="45" spans="1:6" s="538" customFormat="1" x14ac:dyDescent="0.25">
      <c r="A45" s="549" t="str">
        <f t="shared" si="3"/>
        <v>02-B-040</v>
      </c>
      <c r="B45" s="788" t="str">
        <f t="shared" ca="1" si="0"/>
        <v>ZZZ_land_H4</v>
      </c>
      <c r="C45" s="533" t="s">
        <v>2228</v>
      </c>
      <c r="D45" s="533" t="s">
        <v>2228</v>
      </c>
      <c r="E45" s="533" t="s">
        <v>2228</v>
      </c>
      <c r="F45" s="533" t="s">
        <v>2228</v>
      </c>
    </row>
    <row r="46" spans="1:6" s="544" customFormat="1" x14ac:dyDescent="0.25">
      <c r="A46" s="542" t="str">
        <f t="shared" si="3"/>
        <v>02-B-041</v>
      </c>
      <c r="B46" s="801"/>
    </row>
    <row r="47" spans="1:6" s="541" customFormat="1" x14ac:dyDescent="0.25">
      <c r="A47" s="539" t="str">
        <f t="shared" si="3"/>
        <v>02-B-042</v>
      </c>
      <c r="B47" s="791"/>
      <c r="C47" s="541" t="s">
        <v>866</v>
      </c>
    </row>
    <row r="48" spans="1:6" s="537" customFormat="1" x14ac:dyDescent="0.25">
      <c r="A48" s="550" t="str">
        <f t="shared" si="3"/>
        <v>02-B-043</v>
      </c>
      <c r="B48" s="787" t="str">
        <f ca="1">INDIRECT(CHAR(64+$C$2)&amp;ROW())</f>
        <v>B4E1C2A1C4D4F2A3B3B2D2E4D3D1F3E3A2C3C1E2B1F4F1A4G1G2G3G4H1H2H3H4</v>
      </c>
      <c r="C48" s="537" t="s">
        <v>2477</v>
      </c>
      <c r="D48" s="537" t="s">
        <v>2478</v>
      </c>
      <c r="E48" s="537" t="s">
        <v>2479</v>
      </c>
      <c r="F48" s="537" t="s">
        <v>2480</v>
      </c>
    </row>
    <row r="49" spans="1:6" s="541" customFormat="1" x14ac:dyDescent="0.25">
      <c r="A49" s="539" t="str">
        <f t="shared" si="3"/>
        <v>02-B-044</v>
      </c>
      <c r="B49" s="791"/>
    </row>
    <row r="50" spans="1:6" s="544" customFormat="1" x14ac:dyDescent="0.25">
      <c r="A50" s="542" t="str">
        <f t="shared" si="3"/>
        <v>02-B-045</v>
      </c>
      <c r="B50" s="790"/>
    </row>
    <row r="51" spans="1:6" s="538" customFormat="1" x14ac:dyDescent="0.25">
      <c r="A51" s="549" t="str">
        <f t="shared" si="3"/>
        <v>02-B-046</v>
      </c>
      <c r="B51" s="800" t="str">
        <f t="shared" ref="B51:B82" ca="1" si="4">INDIRECT(CHAR(64+$C$2)&amp;ROW())</f>
        <v>Albanees voetbalelftal</v>
      </c>
      <c r="C51" s="538" t="s">
        <v>2233</v>
      </c>
      <c r="D51" s="538" t="s">
        <v>2245</v>
      </c>
      <c r="E51" s="538" t="s">
        <v>2264</v>
      </c>
      <c r="F51" s="538" t="s">
        <v>2277</v>
      </c>
    </row>
    <row r="52" spans="1:6" s="537" customFormat="1" x14ac:dyDescent="0.25">
      <c r="A52" s="550" t="str">
        <f t="shared" si="3"/>
        <v>02-B-047</v>
      </c>
      <c r="B52" s="789" t="str">
        <f t="shared" ca="1" si="4"/>
        <v>Belgisch voetbalelftal</v>
      </c>
      <c r="C52" s="537" t="s">
        <v>1861</v>
      </c>
      <c r="D52" s="537" t="s">
        <v>2246</v>
      </c>
      <c r="E52" s="537" t="s">
        <v>1260</v>
      </c>
      <c r="F52" s="537" t="s">
        <v>2278</v>
      </c>
    </row>
    <row r="53" spans="1:6" s="538" customFormat="1" x14ac:dyDescent="0.25">
      <c r="A53" s="549" t="str">
        <f t="shared" si="3"/>
        <v>02-B-048</v>
      </c>
      <c r="B53" s="800" t="str">
        <f t="shared" ca="1" si="4"/>
        <v>Deense voetbalelftal</v>
      </c>
      <c r="C53" s="538" t="s">
        <v>2239</v>
      </c>
      <c r="D53" s="538" t="s">
        <v>966</v>
      </c>
      <c r="E53" s="538" t="s">
        <v>1261</v>
      </c>
      <c r="F53" s="538" t="s">
        <v>2279</v>
      </c>
    </row>
    <row r="54" spans="1:6" s="537" customFormat="1" x14ac:dyDescent="0.25">
      <c r="A54" s="550" t="str">
        <f t="shared" si="3"/>
        <v>02-B-049</v>
      </c>
      <c r="B54" s="789" t="str">
        <f t="shared" ca="1" si="4"/>
        <v>Duits voetbalelftal</v>
      </c>
      <c r="C54" s="537" t="s">
        <v>1860</v>
      </c>
      <c r="D54" s="537" t="s">
        <v>2247</v>
      </c>
      <c r="E54" s="537" t="s">
        <v>2265</v>
      </c>
      <c r="F54" s="537" t="s">
        <v>2280</v>
      </c>
    </row>
    <row r="55" spans="1:6" s="538" customFormat="1" x14ac:dyDescent="0.25">
      <c r="A55" s="549" t="str">
        <f t="shared" si="3"/>
        <v>02-B-050</v>
      </c>
      <c r="B55" s="800" t="str">
        <f t="shared" ca="1" si="4"/>
        <v>Engels voetbalelftal</v>
      </c>
      <c r="C55" s="538" t="s">
        <v>1857</v>
      </c>
      <c r="D55" s="538" t="s">
        <v>2248</v>
      </c>
      <c r="E55" s="538" t="s">
        <v>2266</v>
      </c>
      <c r="F55" s="538" t="s">
        <v>2281</v>
      </c>
    </row>
    <row r="56" spans="1:6" s="537" customFormat="1" x14ac:dyDescent="0.25">
      <c r="A56" s="550" t="str">
        <f t="shared" si="3"/>
        <v>02-B-051</v>
      </c>
      <c r="B56" s="789" t="str">
        <f t="shared" ca="1" si="4"/>
        <v>Frans voetbalelftal</v>
      </c>
      <c r="C56" s="537" t="s">
        <v>1858</v>
      </c>
      <c r="D56" s="537" t="s">
        <v>2249</v>
      </c>
      <c r="E56" s="537" t="s">
        <v>1262</v>
      </c>
      <c r="F56" s="537" t="s">
        <v>2282</v>
      </c>
    </row>
    <row r="57" spans="1:6" s="538" customFormat="1" x14ac:dyDescent="0.25">
      <c r="A57" s="549" t="str">
        <f t="shared" si="3"/>
        <v>02-B-052</v>
      </c>
      <c r="B57" s="800" t="str">
        <f t="shared" ca="1" si="4"/>
        <v>Georgisch voetbalelftal</v>
      </c>
      <c r="C57" s="538" t="s">
        <v>2483</v>
      </c>
      <c r="D57" s="538" t="s">
        <v>2486</v>
      </c>
      <c r="E57" s="538" t="s">
        <v>2489</v>
      </c>
      <c r="F57" s="538" t="s">
        <v>2492</v>
      </c>
    </row>
    <row r="58" spans="1:6" s="537" customFormat="1" x14ac:dyDescent="0.25">
      <c r="A58" s="550" t="str">
        <f t="shared" si="3"/>
        <v>02-B-053</v>
      </c>
      <c r="B58" s="789" t="str">
        <f t="shared" ca="1" si="4"/>
        <v>Hongaars voetbalelftal</v>
      </c>
      <c r="C58" s="537" t="s">
        <v>2234</v>
      </c>
      <c r="D58" s="537" t="s">
        <v>2250</v>
      </c>
      <c r="E58" s="537" t="s">
        <v>2267</v>
      </c>
      <c r="F58" s="537" t="s">
        <v>2283</v>
      </c>
    </row>
    <row r="59" spans="1:6" s="538" customFormat="1" x14ac:dyDescent="0.25">
      <c r="A59" s="549" t="str">
        <f t="shared" si="3"/>
        <v>02-B-054</v>
      </c>
      <c r="B59" s="800" t="str">
        <f t="shared" ca="1" si="4"/>
        <v>Italiaans voetbalelftal</v>
      </c>
      <c r="C59" s="538" t="s">
        <v>2240</v>
      </c>
      <c r="D59" s="538" t="s">
        <v>2251</v>
      </c>
      <c r="E59" s="538" t="s">
        <v>2268</v>
      </c>
      <c r="F59" s="538" t="s">
        <v>2284</v>
      </c>
    </row>
    <row r="60" spans="1:6" s="537" customFormat="1" x14ac:dyDescent="0.25">
      <c r="A60" s="550" t="str">
        <f t="shared" si="3"/>
        <v>02-B-055</v>
      </c>
      <c r="B60" s="789" t="str">
        <f t="shared" ca="1" si="4"/>
        <v>Kroatisch voetbalelftal</v>
      </c>
      <c r="C60" s="537" t="s">
        <v>1862</v>
      </c>
      <c r="D60" s="537" t="s">
        <v>2252</v>
      </c>
      <c r="E60" s="537" t="s">
        <v>1263</v>
      </c>
      <c r="F60" s="537" t="s">
        <v>2285</v>
      </c>
    </row>
    <row r="61" spans="1:6" s="538" customFormat="1" x14ac:dyDescent="0.25">
      <c r="A61" s="549" t="str">
        <f t="shared" si="3"/>
        <v>02-B-056</v>
      </c>
      <c r="B61" s="800" t="str">
        <f t="shared" ca="1" si="4"/>
        <v>Nederlands voetbalelftal</v>
      </c>
      <c r="C61" s="538" t="s">
        <v>1856</v>
      </c>
      <c r="D61" s="538" t="s">
        <v>967</v>
      </c>
      <c r="E61" s="538" t="s">
        <v>1264</v>
      </c>
      <c r="F61" s="538" t="s">
        <v>2286</v>
      </c>
    </row>
    <row r="62" spans="1:6" s="537" customFormat="1" x14ac:dyDescent="0.25">
      <c r="A62" s="550" t="str">
        <f t="shared" si="3"/>
        <v>02-B-057</v>
      </c>
      <c r="B62" s="789" t="str">
        <f t="shared" ca="1" si="4"/>
        <v>Oekraïens voetbalelftal</v>
      </c>
      <c r="C62" s="537" t="s">
        <v>2482</v>
      </c>
      <c r="D62" s="537" t="s">
        <v>2484</v>
      </c>
      <c r="E62" s="537" t="s">
        <v>2488</v>
      </c>
      <c r="F62" s="537" t="s">
        <v>2491</v>
      </c>
    </row>
    <row r="63" spans="1:6" s="538" customFormat="1" x14ac:dyDescent="0.25">
      <c r="A63" s="549" t="str">
        <f t="shared" si="3"/>
        <v>02-B-058</v>
      </c>
      <c r="B63" s="800" t="str">
        <f t="shared" ca="1" si="4"/>
        <v>Oostenrijks voetbalelftal</v>
      </c>
      <c r="C63" s="538" t="s">
        <v>2235</v>
      </c>
      <c r="D63" s="538" t="s">
        <v>2253</v>
      </c>
      <c r="E63" s="538" t="s">
        <v>2269</v>
      </c>
      <c r="F63" s="538" t="s">
        <v>2287</v>
      </c>
    </row>
    <row r="64" spans="1:6" s="537" customFormat="1" x14ac:dyDescent="0.25">
      <c r="A64" s="550" t="str">
        <f t="shared" si="3"/>
        <v>02-B-059</v>
      </c>
      <c r="B64" s="789" t="str">
        <f t="shared" ca="1" si="4"/>
        <v>Pools voetbalelftal</v>
      </c>
      <c r="C64" s="537" t="s">
        <v>2481</v>
      </c>
      <c r="D64" s="537" t="s">
        <v>2485</v>
      </c>
      <c r="E64" s="537" t="s">
        <v>2487</v>
      </c>
      <c r="F64" s="537" t="s">
        <v>2490</v>
      </c>
    </row>
    <row r="65" spans="1:6" s="538" customFormat="1" x14ac:dyDescent="0.25">
      <c r="A65" s="549" t="str">
        <f t="shared" si="3"/>
        <v>02-B-060</v>
      </c>
      <c r="B65" s="800" t="str">
        <f t="shared" ca="1" si="4"/>
        <v>Portugees voetbalelftal</v>
      </c>
      <c r="C65" s="538" t="s">
        <v>1864</v>
      </c>
      <c r="D65" s="538" t="s">
        <v>2254</v>
      </c>
      <c r="E65" s="538" t="s">
        <v>2270</v>
      </c>
      <c r="F65" s="538" t="s">
        <v>2288</v>
      </c>
    </row>
    <row r="66" spans="1:6" s="537" customFormat="1" x14ac:dyDescent="0.25">
      <c r="A66" s="550" t="str">
        <f t="shared" si="3"/>
        <v>02-B-061</v>
      </c>
      <c r="B66" s="789" t="str">
        <f t="shared" ca="1" si="4"/>
        <v>Roemeens voetbalelftal</v>
      </c>
      <c r="C66" s="537" t="s">
        <v>2236</v>
      </c>
      <c r="D66" s="537" t="s">
        <v>2255</v>
      </c>
      <c r="E66" s="537" t="s">
        <v>2271</v>
      </c>
      <c r="F66" s="537" t="s">
        <v>2289</v>
      </c>
    </row>
    <row r="67" spans="1:6" s="538" customFormat="1" x14ac:dyDescent="0.25">
      <c r="A67" s="549" t="str">
        <f t="shared" si="3"/>
        <v>02-B-062</v>
      </c>
      <c r="B67" s="800" t="str">
        <f t="shared" ca="1" si="4"/>
        <v>Schots voetbalelftal</v>
      </c>
      <c r="C67" s="538" t="s">
        <v>2241</v>
      </c>
      <c r="D67" s="538" t="s">
        <v>2256</v>
      </c>
      <c r="E67" s="538" t="s">
        <v>2272</v>
      </c>
      <c r="F67" s="538" t="s">
        <v>2290</v>
      </c>
    </row>
    <row r="68" spans="1:6" s="537" customFormat="1" x14ac:dyDescent="0.25">
      <c r="A68" s="550" t="str">
        <f t="shared" si="3"/>
        <v>02-B-063</v>
      </c>
      <c r="B68" s="789" t="str">
        <f t="shared" ca="1" si="4"/>
        <v>Servisch voetbalelftal</v>
      </c>
      <c r="C68" s="537" t="s">
        <v>1863</v>
      </c>
      <c r="D68" s="537" t="s">
        <v>2257</v>
      </c>
      <c r="E68" s="537" t="s">
        <v>1865</v>
      </c>
      <c r="F68" s="537" t="s">
        <v>2291</v>
      </c>
    </row>
    <row r="69" spans="1:6" s="538" customFormat="1" x14ac:dyDescent="0.25">
      <c r="A69" s="549" t="str">
        <f t="shared" si="3"/>
        <v>02-B-064</v>
      </c>
      <c r="B69" s="800" t="str">
        <f t="shared" ca="1" si="4"/>
        <v>Sloveens voetbalelftal</v>
      </c>
      <c r="C69" s="538" t="s">
        <v>2238</v>
      </c>
      <c r="D69" s="538" t="s">
        <v>2258</v>
      </c>
      <c r="E69" s="538" t="s">
        <v>2273</v>
      </c>
      <c r="F69" s="538" t="s">
        <v>2292</v>
      </c>
    </row>
    <row r="70" spans="1:6" s="537" customFormat="1" x14ac:dyDescent="0.25">
      <c r="A70" s="550" t="str">
        <f t="shared" si="3"/>
        <v>02-B-065</v>
      </c>
      <c r="B70" s="789" t="str">
        <f t="shared" ca="1" si="4"/>
        <v>Slowaaks voetbalelftal</v>
      </c>
      <c r="C70" s="537" t="s">
        <v>2237</v>
      </c>
      <c r="D70" s="537" t="s">
        <v>2259</v>
      </c>
      <c r="E70" s="537" t="s">
        <v>2274</v>
      </c>
      <c r="F70" s="537" t="s">
        <v>2293</v>
      </c>
    </row>
    <row r="71" spans="1:6" s="538" customFormat="1" x14ac:dyDescent="0.25">
      <c r="A71" s="549" t="str">
        <f t="shared" si="3"/>
        <v>02-B-066</v>
      </c>
      <c r="B71" s="800" t="str">
        <f t="shared" ca="1" si="4"/>
        <v>Spaans voetbalelftal</v>
      </c>
      <c r="C71" s="538" t="s">
        <v>1859</v>
      </c>
      <c r="D71" s="538" t="s">
        <v>2260</v>
      </c>
      <c r="E71" s="538" t="s">
        <v>1265</v>
      </c>
      <c r="F71" s="538" t="s">
        <v>2294</v>
      </c>
    </row>
    <row r="72" spans="1:6" s="537" customFormat="1" x14ac:dyDescent="0.25">
      <c r="A72" s="550" t="str">
        <f t="shared" si="3"/>
        <v>02-B-067</v>
      </c>
      <c r="B72" s="789" t="str">
        <f t="shared" ca="1" si="4"/>
        <v>Tsjechisch voetbalelftal</v>
      </c>
      <c r="C72" s="537" t="s">
        <v>2242</v>
      </c>
      <c r="D72" s="537" t="s">
        <v>2261</v>
      </c>
      <c r="E72" s="537" t="s">
        <v>2275</v>
      </c>
      <c r="F72" s="537" t="s">
        <v>2295</v>
      </c>
    </row>
    <row r="73" spans="1:6" s="538" customFormat="1" x14ac:dyDescent="0.25">
      <c r="A73" s="549" t="str">
        <f t="shared" si="3"/>
        <v>02-B-068</v>
      </c>
      <c r="B73" s="800" t="str">
        <f t="shared" ca="1" si="4"/>
        <v>Turks voetbalelftal</v>
      </c>
      <c r="C73" s="538" t="s">
        <v>2243</v>
      </c>
      <c r="D73" s="538" t="s">
        <v>2262</v>
      </c>
      <c r="E73" s="538" t="s">
        <v>2276</v>
      </c>
      <c r="F73" s="538" t="s">
        <v>2296</v>
      </c>
    </row>
    <row r="74" spans="1:6" s="537" customFormat="1" x14ac:dyDescent="0.25">
      <c r="A74" s="550" t="str">
        <f t="shared" si="3"/>
        <v>02-B-069</v>
      </c>
      <c r="B74" s="789" t="str">
        <f t="shared" ca="1" si="4"/>
        <v>Zwisters voetbalelftal</v>
      </c>
      <c r="C74" s="537" t="s">
        <v>2244</v>
      </c>
      <c r="D74" s="537" t="s">
        <v>2263</v>
      </c>
      <c r="E74" s="537" t="s">
        <v>1266</v>
      </c>
      <c r="F74" s="537" t="s">
        <v>2297</v>
      </c>
    </row>
    <row r="75" spans="1:6" s="538" customFormat="1" x14ac:dyDescent="0.25">
      <c r="A75" s="549" t="str">
        <f t="shared" si="3"/>
        <v>02-B-070</v>
      </c>
      <c r="B75" s="800" t="str">
        <f t="shared" ca="1" si="4"/>
        <v>ZZZ_land_G1</v>
      </c>
      <c r="C75" s="538" t="str">
        <f t="shared" ref="C75:F78" si="5">C37</f>
        <v>ZZZ_land_G1</v>
      </c>
      <c r="D75" s="538" t="str">
        <f t="shared" si="5"/>
        <v>ZZZ_land_G1</v>
      </c>
      <c r="E75" s="538" t="str">
        <f t="shared" si="5"/>
        <v>ZZZ_land_G1</v>
      </c>
      <c r="F75" s="538" t="str">
        <f t="shared" si="5"/>
        <v>ZZZ_land_G1</v>
      </c>
    </row>
    <row r="76" spans="1:6" s="537" customFormat="1" x14ac:dyDescent="0.25">
      <c r="A76" s="550" t="str">
        <f t="shared" si="3"/>
        <v>02-B-071</v>
      </c>
      <c r="B76" s="789" t="str">
        <f t="shared" ca="1" si="4"/>
        <v>ZZZ_land_G2</v>
      </c>
      <c r="C76" s="537" t="str">
        <f t="shared" si="5"/>
        <v>ZZZ_land_G2</v>
      </c>
      <c r="D76" s="537" t="str">
        <f t="shared" si="5"/>
        <v>ZZZ_land_G2</v>
      </c>
      <c r="E76" s="537" t="str">
        <f t="shared" si="5"/>
        <v>ZZZ_land_G2</v>
      </c>
      <c r="F76" s="537" t="str">
        <f t="shared" si="5"/>
        <v>ZZZ_land_G2</v>
      </c>
    </row>
    <row r="77" spans="1:6" s="538" customFormat="1" x14ac:dyDescent="0.25">
      <c r="A77" s="549" t="str">
        <f>LEFT(A76,5)&amp;RIGHT("000"&amp;RIGHT(A76,3)*1+1,3)</f>
        <v>02-B-072</v>
      </c>
      <c r="B77" s="800" t="str">
        <f t="shared" ca="1" si="4"/>
        <v>ZZZ_land_G3</v>
      </c>
      <c r="C77" s="538" t="str">
        <f t="shared" si="5"/>
        <v>ZZZ_land_G3</v>
      </c>
      <c r="D77" s="538" t="str">
        <f t="shared" si="5"/>
        <v>ZZZ_land_G3</v>
      </c>
      <c r="E77" s="538" t="str">
        <f t="shared" si="5"/>
        <v>ZZZ_land_G3</v>
      </c>
      <c r="F77" s="538" t="str">
        <f t="shared" si="5"/>
        <v>ZZZ_land_G3</v>
      </c>
    </row>
    <row r="78" spans="1:6" s="537" customFormat="1" x14ac:dyDescent="0.25">
      <c r="A78" s="550" t="str">
        <f t="shared" si="3"/>
        <v>02-B-073</v>
      </c>
      <c r="B78" s="789" t="str">
        <f t="shared" ca="1" si="4"/>
        <v>ZZZ_land_G4</v>
      </c>
      <c r="C78" s="537" t="str">
        <f t="shared" si="5"/>
        <v>ZZZ_land_G4</v>
      </c>
      <c r="D78" s="537" t="str">
        <f t="shared" si="5"/>
        <v>ZZZ_land_G4</v>
      </c>
      <c r="E78" s="537" t="str">
        <f t="shared" si="5"/>
        <v>ZZZ_land_G4</v>
      </c>
      <c r="F78" s="537" t="str">
        <f t="shared" si="5"/>
        <v>ZZZ_land_G4</v>
      </c>
    </row>
    <row r="79" spans="1:6" s="538" customFormat="1" x14ac:dyDescent="0.25">
      <c r="A79" s="549" t="str">
        <f t="shared" si="3"/>
        <v>02-B-074</v>
      </c>
      <c r="B79" s="800" t="str">
        <f t="shared" ca="1" si="4"/>
        <v>ZZZ_land_H1</v>
      </c>
      <c r="C79" s="538" t="str">
        <f t="shared" ref="C79:F82" si="6">C42</f>
        <v>ZZZ_land_H1</v>
      </c>
      <c r="D79" s="538" t="str">
        <f t="shared" si="6"/>
        <v>ZZZ_land_H1</v>
      </c>
      <c r="E79" s="538" t="str">
        <f t="shared" si="6"/>
        <v>ZZZ_land_H1</v>
      </c>
      <c r="F79" s="538" t="str">
        <f t="shared" si="6"/>
        <v>ZZZ_land_H1</v>
      </c>
    </row>
    <row r="80" spans="1:6" s="537" customFormat="1" x14ac:dyDescent="0.25">
      <c r="A80" s="550" t="str">
        <f t="shared" si="3"/>
        <v>02-B-075</v>
      </c>
      <c r="B80" s="789" t="str">
        <f t="shared" ca="1" si="4"/>
        <v>ZZZ_land_H2</v>
      </c>
      <c r="C80" s="537" t="str">
        <f t="shared" si="6"/>
        <v>ZZZ_land_H2</v>
      </c>
      <c r="D80" s="537" t="str">
        <f t="shared" si="6"/>
        <v>ZZZ_land_H2</v>
      </c>
      <c r="E80" s="537" t="str">
        <f t="shared" si="6"/>
        <v>ZZZ_land_H2</v>
      </c>
      <c r="F80" s="537" t="str">
        <f t="shared" si="6"/>
        <v>ZZZ_land_H2</v>
      </c>
    </row>
    <row r="81" spans="1:19" s="538" customFormat="1" x14ac:dyDescent="0.25">
      <c r="A81" s="549" t="str">
        <f t="shared" si="3"/>
        <v>02-B-076</v>
      </c>
      <c r="B81" s="800" t="str">
        <f t="shared" ca="1" si="4"/>
        <v>ZZZ_land_H3</v>
      </c>
      <c r="C81" s="538" t="str">
        <f t="shared" si="6"/>
        <v>ZZZ_land_H3</v>
      </c>
      <c r="D81" s="538" t="str">
        <f t="shared" si="6"/>
        <v>ZZZ_land_H3</v>
      </c>
      <c r="E81" s="538" t="str">
        <f t="shared" si="6"/>
        <v>ZZZ_land_H3</v>
      </c>
      <c r="F81" s="538" t="str">
        <f t="shared" si="6"/>
        <v>ZZZ_land_H3</v>
      </c>
    </row>
    <row r="82" spans="1:19" s="537" customFormat="1" x14ac:dyDescent="0.25">
      <c r="A82" s="550" t="str">
        <f t="shared" si="3"/>
        <v>02-B-077</v>
      </c>
      <c r="B82" s="789" t="str">
        <f t="shared" ca="1" si="4"/>
        <v>ZZZ_land_H4</v>
      </c>
      <c r="C82" s="537" t="str">
        <f t="shared" si="6"/>
        <v>ZZZ_land_H4</v>
      </c>
      <c r="D82" s="537" t="str">
        <f t="shared" si="6"/>
        <v>ZZZ_land_H4</v>
      </c>
      <c r="E82" s="537" t="str">
        <f t="shared" si="6"/>
        <v>ZZZ_land_H4</v>
      </c>
      <c r="F82" s="537" t="str">
        <f t="shared" si="6"/>
        <v>ZZZ_land_H4</v>
      </c>
    </row>
    <row r="83" spans="1:19" s="541" customFormat="1" x14ac:dyDescent="0.25">
      <c r="A83" s="539" t="str">
        <f t="shared" si="3"/>
        <v>02-B-078</v>
      </c>
      <c r="B83" s="605"/>
      <c r="C83" s="540"/>
    </row>
    <row r="84" spans="1:19" s="544" customFormat="1" x14ac:dyDescent="0.25">
      <c r="A84" s="542" t="str">
        <f t="shared" si="3"/>
        <v>02-B-079</v>
      </c>
      <c r="B84" s="604"/>
      <c r="C84" s="543"/>
    </row>
    <row r="85" spans="1:19" s="541" customFormat="1" x14ac:dyDescent="0.25">
      <c r="A85" s="539" t="str">
        <f t="shared" si="3"/>
        <v>02-B-080</v>
      </c>
      <c r="B85" s="605"/>
      <c r="C85" s="540"/>
    </row>
    <row r="86" spans="1:19" s="544" customFormat="1" x14ac:dyDescent="0.25">
      <c r="A86" s="542" t="str">
        <f t="shared" si="3"/>
        <v>02-B-081</v>
      </c>
      <c r="B86" s="604"/>
      <c r="C86" s="543"/>
    </row>
    <row r="87" spans="1:19" s="541" customFormat="1" x14ac:dyDescent="0.25">
      <c r="A87" s="539" t="str">
        <f t="shared" si="3"/>
        <v>02-B-082</v>
      </c>
      <c r="B87" s="605"/>
      <c r="C87" s="540"/>
    </row>
    <row r="88" spans="1:19" s="544" customFormat="1" x14ac:dyDescent="0.25">
      <c r="A88" s="542" t="str">
        <f t="shared" si="3"/>
        <v>02-B-083</v>
      </c>
      <c r="B88" s="604"/>
      <c r="C88" s="543"/>
    </row>
    <row r="89" spans="1:19" s="541" customFormat="1" x14ac:dyDescent="0.25">
      <c r="A89" s="539" t="str">
        <f t="shared" si="3"/>
        <v>02-B-084</v>
      </c>
      <c r="B89" s="605"/>
      <c r="C89" s="540"/>
      <c r="G89" s="973" t="s">
        <v>2321</v>
      </c>
      <c r="K89" s="973" t="s">
        <v>917</v>
      </c>
      <c r="S89" s="973" t="s">
        <v>2322</v>
      </c>
    </row>
    <row r="90" spans="1:19" s="651" customFormat="1" ht="15" customHeight="1" x14ac:dyDescent="0.25">
      <c r="A90" s="1014" t="s">
        <v>915</v>
      </c>
      <c r="B90" s="1015"/>
      <c r="C90" s="1015"/>
      <c r="D90" s="1016"/>
      <c r="E90" s="1027" t="s">
        <v>916</v>
      </c>
      <c r="F90" s="1028"/>
      <c r="G90" s="1007" t="s">
        <v>2299</v>
      </c>
      <c r="H90" s="1012" t="s">
        <v>2301</v>
      </c>
      <c r="I90" s="1007" t="s">
        <v>2303</v>
      </c>
      <c r="J90" s="1012" t="s">
        <v>2305</v>
      </c>
      <c r="K90" s="1007" t="s">
        <v>2306</v>
      </c>
      <c r="L90" s="1012" t="s">
        <v>2307</v>
      </c>
      <c r="M90" s="1007" t="s">
        <v>2310</v>
      </c>
      <c r="N90" s="1012" t="s">
        <v>2311</v>
      </c>
      <c r="O90" s="1007" t="s">
        <v>2313</v>
      </c>
      <c r="P90" s="1012" t="s">
        <v>2314</v>
      </c>
      <c r="Q90" s="1007" t="s">
        <v>2316</v>
      </c>
      <c r="R90" s="1012" t="s">
        <v>2317</v>
      </c>
      <c r="S90" s="1007" t="s">
        <v>2320</v>
      </c>
    </row>
    <row r="91" spans="1:19" s="651" customFormat="1" ht="15" customHeight="1" x14ac:dyDescent="0.25">
      <c r="A91" s="1017"/>
      <c r="B91" s="1018"/>
      <c r="C91" s="1018"/>
      <c r="D91" s="1019"/>
      <c r="E91" s="1031"/>
      <c r="F91" s="1032"/>
      <c r="G91" s="1008"/>
      <c r="H91" s="1013"/>
      <c r="I91" s="1008"/>
      <c r="J91" s="1013"/>
      <c r="K91" s="1008"/>
      <c r="L91" s="1013"/>
      <c r="M91" s="1008"/>
      <c r="N91" s="1013"/>
      <c r="O91" s="1008"/>
      <c r="P91" s="1013"/>
      <c r="Q91" s="1008"/>
      <c r="R91" s="1013"/>
      <c r="S91" s="1008"/>
    </row>
    <row r="92" spans="1:19" s="651" customFormat="1" ht="15" customHeight="1" x14ac:dyDescent="0.25">
      <c r="A92" s="1017"/>
      <c r="B92" s="1018"/>
      <c r="C92" s="1018"/>
      <c r="D92" s="1019"/>
      <c r="E92" s="1027" t="s">
        <v>914</v>
      </c>
      <c r="F92" s="1028"/>
      <c r="G92" s="1009" t="str">
        <f ca="1">G100&amp;G101&amp;G102&amp;G103&amp;G104&amp;G105&amp;G106&amp;G107&amp;G108&amp;G109&amp;G110&amp;G111&amp;G112&amp;G113&amp;G114&amp;G115&amp;G116&amp;G117&amp;G118&amp;G119&amp;G120&amp;G121&amp;G122&amp;G123&amp;G124&amp;G125&amp;G126&amp;G127&amp;G128&amp;G129&amp;G130&amp;G131</f>
        <v>E1D4F2D2E4D3D1F3E3E2F4F1</v>
      </c>
      <c r="H92" s="1000" t="str">
        <f t="shared" ref="H92:S92" ca="1" si="7">H100&amp;H101&amp;H102&amp;H103&amp;H104&amp;H105&amp;H106&amp;H107&amp;H108&amp;H109&amp;H110&amp;H111&amp;H112&amp;H113&amp;H114&amp;H115&amp;H116&amp;H117&amp;H118&amp;H119&amp;H120&amp;H121&amp;H122&amp;H123&amp;H124&amp;H125&amp;H126&amp;H127&amp;H128&amp;H129&amp;H130&amp;H131</f>
        <v>E1A1D4F2A3D2E4D3D1F3E3A2E2F4F1A4</v>
      </c>
      <c r="I92" s="1009" t="str">
        <f t="shared" ca="1" si="7"/>
        <v>B4C2A1C4A3B3B2A2C3C1B1A4</v>
      </c>
      <c r="J92" s="1000" t="str">
        <f t="shared" ca="1" si="7"/>
        <v>B4C2A1C4D4A3B3B2D2D3D1A2C3C1B1A4</v>
      </c>
      <c r="K92" s="1009" t="str">
        <f t="shared" ca="1" si="7"/>
        <v>B4E1A1D4F2A3B3B2D2E4D3D1F3E3A2E2B1F4F1A4</v>
      </c>
      <c r="L92" s="1000" t="str">
        <f t="shared" ca="1" si="7"/>
        <v>C2A1C4A3A2C3C1A4</v>
      </c>
      <c r="M92" s="1009" t="str">
        <f t="shared" ca="1" si="7"/>
        <v>B4C2A1C4F2A3B3B2F3A2C3C1B1F4F1A4</v>
      </c>
      <c r="N92" s="1000" t="str">
        <f t="shared" ca="1" si="7"/>
        <v>E1D4D2E4D3D1E3E2</v>
      </c>
      <c r="O92" s="1009" t="str">
        <f t="shared" ca="1" si="7"/>
        <v>E1C2C4D4F2D2E4D3D1F3E3C3C1E2F4F1</v>
      </c>
      <c r="P92" s="1000" t="str">
        <f t="shared" ca="1" si="7"/>
        <v>B4A1A3B3B2A2B1A4</v>
      </c>
      <c r="Q92" s="1009" t="str">
        <f t="shared" ca="1" si="7"/>
        <v>B4E1C2A1C4D4A3B3B2D2E4D3D1E3A2C3C1E2B1A4</v>
      </c>
      <c r="R92" s="1000" t="str">
        <f t="shared" ca="1" si="7"/>
        <v>D4F2D2D3D1F3F4F1</v>
      </c>
      <c r="S92" s="1009" t="str">
        <f t="shared" ca="1" si="7"/>
        <v>B4E1C2A1C4D4F2A3B3B2D2E4D3D1F3E3A2C3C1E2B1F4F1A4</v>
      </c>
    </row>
    <row r="93" spans="1:19" s="651" customFormat="1" ht="15" customHeight="1" x14ac:dyDescent="0.25">
      <c r="A93" s="1017"/>
      <c r="B93" s="1018"/>
      <c r="C93" s="1018"/>
      <c r="D93" s="1019"/>
      <c r="E93" s="1029"/>
      <c r="F93" s="1030"/>
      <c r="G93" s="1010"/>
      <c r="H93" s="1001"/>
      <c r="I93" s="1010"/>
      <c r="J93" s="1001"/>
      <c r="K93" s="1010"/>
      <c r="L93" s="1001"/>
      <c r="M93" s="1010"/>
      <c r="N93" s="1001"/>
      <c r="O93" s="1010"/>
      <c r="P93" s="1001"/>
      <c r="Q93" s="1010"/>
      <c r="R93" s="1001"/>
      <c r="S93" s="1010"/>
    </row>
    <row r="94" spans="1:19" s="651" customFormat="1" ht="15" customHeight="1" x14ac:dyDescent="0.25">
      <c r="A94" s="1017"/>
      <c r="B94" s="1018"/>
      <c r="C94" s="1018"/>
      <c r="D94" s="1019"/>
      <c r="E94" s="1029"/>
      <c r="F94" s="1030"/>
      <c r="G94" s="1010"/>
      <c r="H94" s="1001"/>
      <c r="I94" s="1010"/>
      <c r="J94" s="1001"/>
      <c r="K94" s="1010"/>
      <c r="L94" s="1001"/>
      <c r="M94" s="1010"/>
      <c r="N94" s="1001"/>
      <c r="O94" s="1010"/>
      <c r="P94" s="1001"/>
      <c r="Q94" s="1010"/>
      <c r="R94" s="1001"/>
      <c r="S94" s="1010"/>
    </row>
    <row r="95" spans="1:19" s="651" customFormat="1" ht="15" customHeight="1" x14ac:dyDescent="0.25">
      <c r="A95" s="1017"/>
      <c r="B95" s="1018"/>
      <c r="C95" s="1018"/>
      <c r="D95" s="1019"/>
      <c r="E95" s="1029"/>
      <c r="F95" s="1030"/>
      <c r="G95" s="1010"/>
      <c r="H95" s="1001"/>
      <c r="I95" s="1010"/>
      <c r="J95" s="1001"/>
      <c r="K95" s="1010"/>
      <c r="L95" s="1001"/>
      <c r="M95" s="1010"/>
      <c r="N95" s="1001"/>
      <c r="O95" s="1010"/>
      <c r="P95" s="1001"/>
      <c r="Q95" s="1010"/>
      <c r="R95" s="1001"/>
      <c r="S95" s="1010"/>
    </row>
    <row r="96" spans="1:19" s="651" customFormat="1" ht="15" customHeight="1" x14ac:dyDescent="0.25">
      <c r="A96" s="1017"/>
      <c r="B96" s="1018"/>
      <c r="C96" s="1018"/>
      <c r="D96" s="1019"/>
      <c r="E96" s="1029"/>
      <c r="F96" s="1030"/>
      <c r="G96" s="1010"/>
      <c r="H96" s="1001"/>
      <c r="I96" s="1010"/>
      <c r="J96" s="1001"/>
      <c r="K96" s="1010"/>
      <c r="L96" s="1001"/>
      <c r="M96" s="1010"/>
      <c r="N96" s="1001"/>
      <c r="O96" s="1010"/>
      <c r="P96" s="1001"/>
      <c r="Q96" s="1010"/>
      <c r="R96" s="1001"/>
      <c r="S96" s="1010"/>
    </row>
    <row r="97" spans="1:19" s="651" customFormat="1" ht="15" customHeight="1" x14ac:dyDescent="0.25">
      <c r="A97" s="1020"/>
      <c r="B97" s="1021"/>
      <c r="C97" s="1021"/>
      <c r="D97" s="1022"/>
      <c r="E97" s="1031"/>
      <c r="F97" s="1032"/>
      <c r="G97" s="1011"/>
      <c r="H97" s="1002"/>
      <c r="I97" s="1011"/>
      <c r="J97" s="1002"/>
      <c r="K97" s="1011"/>
      <c r="L97" s="1002"/>
      <c r="M97" s="1011"/>
      <c r="N97" s="1002"/>
      <c r="O97" s="1011"/>
      <c r="P97" s="1002"/>
      <c r="Q97" s="1011"/>
      <c r="R97" s="1002"/>
      <c r="S97" s="1011"/>
    </row>
    <row r="98" spans="1:19" s="651" customFormat="1" ht="15" customHeight="1" x14ac:dyDescent="0.25">
      <c r="A98" s="652"/>
      <c r="B98" s="653"/>
      <c r="C98" s="1023" t="s">
        <v>912</v>
      </c>
      <c r="D98" s="1024"/>
      <c r="E98" s="1003" t="s">
        <v>312</v>
      </c>
      <c r="F98" s="1005" t="s">
        <v>913</v>
      </c>
      <c r="G98" s="1003" t="s">
        <v>2300</v>
      </c>
      <c r="H98" s="1005" t="s">
        <v>2302</v>
      </c>
      <c r="I98" s="1003" t="s">
        <v>2304</v>
      </c>
      <c r="J98" s="1005" t="s">
        <v>74</v>
      </c>
      <c r="K98" s="1003" t="s">
        <v>2308</v>
      </c>
      <c r="L98" s="1005" t="s">
        <v>2309</v>
      </c>
      <c r="M98" s="1003" t="s">
        <v>2312</v>
      </c>
      <c r="N98" s="1005" t="s">
        <v>6</v>
      </c>
      <c r="O98" s="1003" t="s">
        <v>2315</v>
      </c>
      <c r="P98" s="1005" t="s">
        <v>459</v>
      </c>
      <c r="Q98" s="1003" t="s">
        <v>2318</v>
      </c>
      <c r="R98" s="1005" t="s">
        <v>2319</v>
      </c>
      <c r="S98" s="1003" t="s">
        <v>2298</v>
      </c>
    </row>
    <row r="99" spans="1:19" s="651" customFormat="1" ht="15" customHeight="1" x14ac:dyDescent="0.25">
      <c r="A99" s="654"/>
      <c r="B99" s="655"/>
      <c r="C99" s="1025"/>
      <c r="D99" s="1026"/>
      <c r="E99" s="1004"/>
      <c r="F99" s="1006"/>
      <c r="G99" s="1004"/>
      <c r="H99" s="1006"/>
      <c r="I99" s="1004"/>
      <c r="J99" s="1006"/>
      <c r="K99" s="1004"/>
      <c r="L99" s="1006"/>
      <c r="M99" s="1004"/>
      <c r="N99" s="1006"/>
      <c r="O99" s="1004"/>
      <c r="P99" s="1006"/>
      <c r="Q99" s="1004"/>
      <c r="R99" s="1006"/>
      <c r="S99" s="1004"/>
    </row>
    <row r="100" spans="1:19" s="651" customFormat="1" x14ac:dyDescent="0.25">
      <c r="A100" s="639" t="s">
        <v>4</v>
      </c>
      <c r="B100" s="640">
        <v>7</v>
      </c>
      <c r="C100" s="641" t="str">
        <f ca="1">IF(ISBLANK(INDIRECT(A100&amp;B100)),"",INDIRECT(A100&amp;B100))</f>
        <v>Duitsland</v>
      </c>
      <c r="D100" s="642" t="str">
        <f ca="1">IF(C100="","",Voorblad!$X$67)</f>
        <v>A1</v>
      </c>
      <c r="E100" s="656">
        <v>2</v>
      </c>
      <c r="F100" s="657" t="str">
        <f ca="1">RIGHT(LEFT($B$48,E100),2)</f>
        <v>B4</v>
      </c>
      <c r="G100" s="656" t="str">
        <f t="shared" ref="G100:S100" ca="1" si="8">IF(G$98=SUBSTITUTE(G$98,LEFT($F100,1),"X"),"",$F100)</f>
        <v/>
      </c>
      <c r="H100" s="657" t="str">
        <f t="shared" ca="1" si="8"/>
        <v/>
      </c>
      <c r="I100" s="656" t="str">
        <f t="shared" ca="1" si="8"/>
        <v>B4</v>
      </c>
      <c r="J100" s="657" t="str">
        <f t="shared" ca="1" si="8"/>
        <v>B4</v>
      </c>
      <c r="K100" s="656" t="str">
        <f t="shared" ca="1" si="8"/>
        <v>B4</v>
      </c>
      <c r="L100" s="657" t="str">
        <f t="shared" ca="1" si="8"/>
        <v/>
      </c>
      <c r="M100" s="656" t="str">
        <f t="shared" ca="1" si="8"/>
        <v>B4</v>
      </c>
      <c r="N100" s="657" t="str">
        <f t="shared" ca="1" si="8"/>
        <v/>
      </c>
      <c r="O100" s="656" t="str">
        <f t="shared" ca="1" si="8"/>
        <v/>
      </c>
      <c r="P100" s="657" t="str">
        <f t="shared" ca="1" si="8"/>
        <v>B4</v>
      </c>
      <c r="Q100" s="656" t="str">
        <f t="shared" ca="1" si="8"/>
        <v>B4</v>
      </c>
      <c r="R100" s="657" t="str">
        <f t="shared" ca="1" si="8"/>
        <v/>
      </c>
      <c r="S100" s="656" t="str">
        <f t="shared" ca="1" si="8"/>
        <v>B4</v>
      </c>
    </row>
    <row r="101" spans="1:19" s="651" customFormat="1" x14ac:dyDescent="0.25">
      <c r="A101" s="643" t="str">
        <f>A100</f>
        <v>C</v>
      </c>
      <c r="B101" s="644">
        <f>B100+1</f>
        <v>8</v>
      </c>
      <c r="C101" s="645" t="str">
        <f t="shared" ref="C101:C164" ca="1" si="9">IF(ISBLANK(INDIRECT(A101&amp;B101)),"",INDIRECT(A101&amp;B101))</f>
        <v>Schotland</v>
      </c>
      <c r="D101" s="646" t="str">
        <f ca="1">IF(C101="","",Voorblad!$X$68)</f>
        <v>A2</v>
      </c>
      <c r="E101" s="658">
        <f>E100+2</f>
        <v>4</v>
      </c>
      <c r="F101" s="659" t="str">
        <f ca="1">RIGHT(LEFT($B$48,E101),2)</f>
        <v>E1</v>
      </c>
      <c r="G101" s="658" t="str">
        <f ca="1">IF(G$98=SUBSTITUTE(G$98,LEFT($F101,1),"X"),"",$F101)</f>
        <v>E1</v>
      </c>
      <c r="H101" s="659" t="str">
        <f t="shared" ref="G101:R131" ca="1" si="10">IF(H$98=SUBSTITUTE(H$98,LEFT($F101,1),"X"),"",$F101)</f>
        <v>E1</v>
      </c>
      <c r="I101" s="658" t="str">
        <f t="shared" ca="1" si="10"/>
        <v/>
      </c>
      <c r="J101" s="659" t="str">
        <f t="shared" ca="1" si="10"/>
        <v/>
      </c>
      <c r="K101" s="658" t="str">
        <f t="shared" ca="1" si="10"/>
        <v>E1</v>
      </c>
      <c r="L101" s="659" t="str">
        <f t="shared" ca="1" si="10"/>
        <v/>
      </c>
      <c r="M101" s="658" t="str">
        <f t="shared" ca="1" si="10"/>
        <v/>
      </c>
      <c r="N101" s="659" t="str">
        <f t="shared" ca="1" si="10"/>
        <v>E1</v>
      </c>
      <c r="O101" s="658" t="str">
        <f t="shared" ca="1" si="10"/>
        <v>E1</v>
      </c>
      <c r="P101" s="659" t="str">
        <f t="shared" ca="1" si="10"/>
        <v/>
      </c>
      <c r="Q101" s="658" t="str">
        <f t="shared" ca="1" si="10"/>
        <v>E1</v>
      </c>
      <c r="R101" s="659" t="str">
        <f t="shared" ca="1" si="10"/>
        <v/>
      </c>
      <c r="S101" s="658" t="str">
        <f t="shared" ref="S101:S131" ca="1" si="11">IF(S$98=SUBSTITUTE(S$98,LEFT($F101,1),"X"),"",$F101)</f>
        <v>E1</v>
      </c>
    </row>
    <row r="102" spans="1:19" s="651" customFormat="1" x14ac:dyDescent="0.25">
      <c r="A102" s="643" t="str">
        <f t="shared" ref="A102:A104" si="12">A101</f>
        <v>C</v>
      </c>
      <c r="B102" s="644">
        <f t="shared" ref="B102:B103" si="13">B101+1</f>
        <v>9</v>
      </c>
      <c r="C102" s="645" t="str">
        <f t="shared" ca="1" si="9"/>
        <v>Hongarije</v>
      </c>
      <c r="D102" s="646" t="str">
        <f ca="1">IF(C102="","",Voorblad!$X$69)</f>
        <v>A3</v>
      </c>
      <c r="E102" s="658">
        <f t="shared" ref="E102:E131" si="14">E101+2</f>
        <v>6</v>
      </c>
      <c r="F102" s="659" t="str">
        <f t="shared" ref="F102:F131" ca="1" si="15">RIGHT(LEFT($B$48,E102),2)</f>
        <v>C2</v>
      </c>
      <c r="G102" s="658" t="str">
        <f ca="1">IF(G$98=SUBSTITUTE(G$98,LEFT($F102,1),"X"),"",$F102)</f>
        <v/>
      </c>
      <c r="H102" s="659" t="str">
        <f t="shared" ca="1" si="10"/>
        <v/>
      </c>
      <c r="I102" s="658" t="str">
        <f t="shared" ca="1" si="10"/>
        <v>C2</v>
      </c>
      <c r="J102" s="659" t="str">
        <f t="shared" ca="1" si="10"/>
        <v>C2</v>
      </c>
      <c r="K102" s="658" t="str">
        <f t="shared" ca="1" si="10"/>
        <v/>
      </c>
      <c r="L102" s="659" t="str">
        <f t="shared" ca="1" si="10"/>
        <v>C2</v>
      </c>
      <c r="M102" s="658" t="str">
        <f t="shared" ca="1" si="10"/>
        <v>C2</v>
      </c>
      <c r="N102" s="659" t="str">
        <f t="shared" ca="1" si="10"/>
        <v/>
      </c>
      <c r="O102" s="658" t="str">
        <f t="shared" ca="1" si="10"/>
        <v>C2</v>
      </c>
      <c r="P102" s="659" t="str">
        <f t="shared" ca="1" si="10"/>
        <v/>
      </c>
      <c r="Q102" s="658" t="str">
        <f t="shared" ca="1" si="10"/>
        <v>C2</v>
      </c>
      <c r="R102" s="659" t="str">
        <f t="shared" ref="O102:R131" ca="1" si="16">IF(R$98=SUBSTITUTE(R$98,LEFT($F102,1),"X"),"",$F102)</f>
        <v/>
      </c>
      <c r="S102" s="658" t="str">
        <f t="shared" ca="1" si="11"/>
        <v>C2</v>
      </c>
    </row>
    <row r="103" spans="1:19" s="651" customFormat="1" x14ac:dyDescent="0.25">
      <c r="A103" s="643" t="str">
        <f t="shared" si="12"/>
        <v>C</v>
      </c>
      <c r="B103" s="644">
        <f t="shared" si="13"/>
        <v>10</v>
      </c>
      <c r="C103" s="645" t="str">
        <f t="shared" ca="1" si="9"/>
        <v>Zwitserland</v>
      </c>
      <c r="D103" s="646" t="str">
        <f ca="1">IF(C103="","",Voorblad!$X$70)</f>
        <v>A4</v>
      </c>
      <c r="E103" s="658">
        <f t="shared" si="14"/>
        <v>8</v>
      </c>
      <c r="F103" s="659" t="str">
        <f t="shared" ca="1" si="15"/>
        <v>A1</v>
      </c>
      <c r="G103" s="658" t="str">
        <f t="shared" ca="1" si="10"/>
        <v/>
      </c>
      <c r="H103" s="659" t="str">
        <f t="shared" ca="1" si="10"/>
        <v>A1</v>
      </c>
      <c r="I103" s="658" t="str">
        <f t="shared" ca="1" si="10"/>
        <v>A1</v>
      </c>
      <c r="J103" s="659" t="str">
        <f t="shared" ca="1" si="10"/>
        <v>A1</v>
      </c>
      <c r="K103" s="658" t="str">
        <f t="shared" ca="1" si="10"/>
        <v>A1</v>
      </c>
      <c r="L103" s="659" t="str">
        <f t="shared" ca="1" si="10"/>
        <v>A1</v>
      </c>
      <c r="M103" s="658" t="str">
        <f t="shared" ca="1" si="10"/>
        <v>A1</v>
      </c>
      <c r="N103" s="659" t="str">
        <f t="shared" ca="1" si="10"/>
        <v/>
      </c>
      <c r="O103" s="658" t="str">
        <f t="shared" ca="1" si="16"/>
        <v/>
      </c>
      <c r="P103" s="659" t="str">
        <f t="shared" ca="1" si="16"/>
        <v>A1</v>
      </c>
      <c r="Q103" s="658" t="str">
        <f t="shared" ca="1" si="16"/>
        <v>A1</v>
      </c>
      <c r="R103" s="659" t="str">
        <f t="shared" ca="1" si="16"/>
        <v/>
      </c>
      <c r="S103" s="658" t="str">
        <f t="shared" ca="1" si="11"/>
        <v>A1</v>
      </c>
    </row>
    <row r="104" spans="1:19" s="651" customFormat="1" x14ac:dyDescent="0.25">
      <c r="A104" s="643" t="str">
        <f t="shared" si="12"/>
        <v>C</v>
      </c>
      <c r="B104" s="644">
        <f>B103+2</f>
        <v>12</v>
      </c>
      <c r="C104" s="645" t="str">
        <f t="shared" ca="1" si="9"/>
        <v>Spanje</v>
      </c>
      <c r="D104" s="646" t="str">
        <f ca="1">IF(C104="","",Voorblad!$X$71)</f>
        <v>B1</v>
      </c>
      <c r="E104" s="658">
        <f t="shared" si="14"/>
        <v>10</v>
      </c>
      <c r="F104" s="659" t="str">
        <f t="shared" ca="1" si="15"/>
        <v>C4</v>
      </c>
      <c r="G104" s="658" t="str">
        <f t="shared" ca="1" si="10"/>
        <v/>
      </c>
      <c r="H104" s="659" t="str">
        <f t="shared" ca="1" si="10"/>
        <v/>
      </c>
      <c r="I104" s="658" t="str">
        <f t="shared" ca="1" si="10"/>
        <v>C4</v>
      </c>
      <c r="J104" s="659" t="str">
        <f t="shared" ca="1" si="10"/>
        <v>C4</v>
      </c>
      <c r="K104" s="658" t="str">
        <f t="shared" ca="1" si="10"/>
        <v/>
      </c>
      <c r="L104" s="659" t="str">
        <f t="shared" ca="1" si="10"/>
        <v>C4</v>
      </c>
      <c r="M104" s="658" t="str">
        <f t="shared" ca="1" si="10"/>
        <v>C4</v>
      </c>
      <c r="N104" s="659" t="str">
        <f t="shared" ca="1" si="10"/>
        <v/>
      </c>
      <c r="O104" s="658" t="str">
        <f t="shared" ca="1" si="16"/>
        <v>C4</v>
      </c>
      <c r="P104" s="659" t="str">
        <f t="shared" ca="1" si="16"/>
        <v/>
      </c>
      <c r="Q104" s="658" t="str">
        <f t="shared" ca="1" si="16"/>
        <v>C4</v>
      </c>
      <c r="R104" s="659" t="str">
        <f t="shared" ca="1" si="16"/>
        <v/>
      </c>
      <c r="S104" s="658" t="str">
        <f t="shared" ca="1" si="11"/>
        <v>C4</v>
      </c>
    </row>
    <row r="105" spans="1:19" s="651" customFormat="1" x14ac:dyDescent="0.25">
      <c r="A105" s="643" t="str">
        <f>A104</f>
        <v>C</v>
      </c>
      <c r="B105" s="644">
        <f>B104+1</f>
        <v>13</v>
      </c>
      <c r="C105" s="645" t="str">
        <f t="shared" ca="1" si="9"/>
        <v>Kroatië</v>
      </c>
      <c r="D105" s="646" t="str">
        <f ca="1">IF(C105="","",Voorblad!$X$72)</f>
        <v>B2</v>
      </c>
      <c r="E105" s="658">
        <f t="shared" si="14"/>
        <v>12</v>
      </c>
      <c r="F105" s="659" t="str">
        <f t="shared" ca="1" si="15"/>
        <v>D4</v>
      </c>
      <c r="G105" s="658" t="str">
        <f t="shared" ca="1" si="10"/>
        <v>D4</v>
      </c>
      <c r="H105" s="659" t="str">
        <f t="shared" ca="1" si="10"/>
        <v>D4</v>
      </c>
      <c r="I105" s="658" t="str">
        <f t="shared" ca="1" si="10"/>
        <v/>
      </c>
      <c r="J105" s="659" t="str">
        <f t="shared" ca="1" si="10"/>
        <v>D4</v>
      </c>
      <c r="K105" s="658" t="str">
        <f t="shared" ca="1" si="10"/>
        <v>D4</v>
      </c>
      <c r="L105" s="659" t="str">
        <f t="shared" ca="1" si="10"/>
        <v/>
      </c>
      <c r="M105" s="658" t="str">
        <f t="shared" ca="1" si="10"/>
        <v/>
      </c>
      <c r="N105" s="659" t="str">
        <f t="shared" ca="1" si="10"/>
        <v>D4</v>
      </c>
      <c r="O105" s="658" t="str">
        <f t="shared" ca="1" si="16"/>
        <v>D4</v>
      </c>
      <c r="P105" s="659" t="str">
        <f t="shared" ca="1" si="16"/>
        <v/>
      </c>
      <c r="Q105" s="658" t="str">
        <f t="shared" ca="1" si="16"/>
        <v>D4</v>
      </c>
      <c r="R105" s="659" t="str">
        <f t="shared" ca="1" si="16"/>
        <v>D4</v>
      </c>
      <c r="S105" s="658" t="str">
        <f t="shared" ca="1" si="11"/>
        <v>D4</v>
      </c>
    </row>
    <row r="106" spans="1:19" s="651" customFormat="1" x14ac:dyDescent="0.25">
      <c r="A106" s="643" t="str">
        <f t="shared" ref="A106:A108" si="17">A105</f>
        <v>C</v>
      </c>
      <c r="B106" s="644">
        <f t="shared" ref="B106:B107" si="18">B105+1</f>
        <v>14</v>
      </c>
      <c r="C106" s="645" t="str">
        <f t="shared" ca="1" si="9"/>
        <v>Italië</v>
      </c>
      <c r="D106" s="646" t="str">
        <f ca="1">IF(C106="","",Voorblad!$X$73)</f>
        <v>B3</v>
      </c>
      <c r="E106" s="658">
        <f t="shared" si="14"/>
        <v>14</v>
      </c>
      <c r="F106" s="659" t="str">
        <f t="shared" ca="1" si="15"/>
        <v>F2</v>
      </c>
      <c r="G106" s="658" t="str">
        <f t="shared" ca="1" si="10"/>
        <v>F2</v>
      </c>
      <c r="H106" s="659" t="str">
        <f t="shared" ca="1" si="10"/>
        <v>F2</v>
      </c>
      <c r="I106" s="658" t="str">
        <f t="shared" ca="1" si="10"/>
        <v/>
      </c>
      <c r="J106" s="659" t="str">
        <f t="shared" ca="1" si="10"/>
        <v/>
      </c>
      <c r="K106" s="658" t="str">
        <f t="shared" ca="1" si="10"/>
        <v>F2</v>
      </c>
      <c r="L106" s="659" t="str">
        <f t="shared" ca="1" si="10"/>
        <v/>
      </c>
      <c r="M106" s="658" t="str">
        <f t="shared" ca="1" si="10"/>
        <v>F2</v>
      </c>
      <c r="N106" s="659" t="str">
        <f t="shared" ca="1" si="10"/>
        <v/>
      </c>
      <c r="O106" s="658" t="str">
        <f t="shared" ca="1" si="16"/>
        <v>F2</v>
      </c>
      <c r="P106" s="659" t="str">
        <f t="shared" ca="1" si="16"/>
        <v/>
      </c>
      <c r="Q106" s="658" t="str">
        <f t="shared" ca="1" si="16"/>
        <v/>
      </c>
      <c r="R106" s="659" t="str">
        <f t="shared" ca="1" si="16"/>
        <v>F2</v>
      </c>
      <c r="S106" s="658" t="str">
        <f t="shared" ca="1" si="11"/>
        <v>F2</v>
      </c>
    </row>
    <row r="107" spans="1:19" s="651" customFormat="1" x14ac:dyDescent="0.25">
      <c r="A107" s="643" t="str">
        <f t="shared" si="17"/>
        <v>C</v>
      </c>
      <c r="B107" s="644">
        <f t="shared" si="18"/>
        <v>15</v>
      </c>
      <c r="C107" s="645" t="str">
        <f t="shared" ca="1" si="9"/>
        <v>Albanië</v>
      </c>
      <c r="D107" s="646" t="str">
        <f ca="1">IF(C107="","",Voorblad!$X$74)</f>
        <v>B4</v>
      </c>
      <c r="E107" s="658">
        <f t="shared" si="14"/>
        <v>16</v>
      </c>
      <c r="F107" s="659" t="str">
        <f t="shared" ca="1" si="15"/>
        <v>A3</v>
      </c>
      <c r="G107" s="658" t="str">
        <f t="shared" ca="1" si="10"/>
        <v/>
      </c>
      <c r="H107" s="659" t="str">
        <f t="shared" ca="1" si="10"/>
        <v>A3</v>
      </c>
      <c r="I107" s="658" t="str">
        <f t="shared" ca="1" si="10"/>
        <v>A3</v>
      </c>
      <c r="J107" s="659" t="str">
        <f t="shared" ca="1" si="10"/>
        <v>A3</v>
      </c>
      <c r="K107" s="658" t="str">
        <f t="shared" ca="1" si="10"/>
        <v>A3</v>
      </c>
      <c r="L107" s="659" t="str">
        <f t="shared" ca="1" si="10"/>
        <v>A3</v>
      </c>
      <c r="M107" s="658" t="str">
        <f t="shared" ca="1" si="10"/>
        <v>A3</v>
      </c>
      <c r="N107" s="659" t="str">
        <f t="shared" ca="1" si="10"/>
        <v/>
      </c>
      <c r="O107" s="658" t="str">
        <f t="shared" ca="1" si="16"/>
        <v/>
      </c>
      <c r="P107" s="659" t="str">
        <f t="shared" ca="1" si="16"/>
        <v>A3</v>
      </c>
      <c r="Q107" s="658" t="str">
        <f t="shared" ca="1" si="16"/>
        <v>A3</v>
      </c>
      <c r="R107" s="659" t="str">
        <f t="shared" ca="1" si="16"/>
        <v/>
      </c>
      <c r="S107" s="658" t="str">
        <f t="shared" ca="1" si="11"/>
        <v>A3</v>
      </c>
    </row>
    <row r="108" spans="1:19" s="651" customFormat="1" x14ac:dyDescent="0.25">
      <c r="A108" s="643" t="str">
        <f t="shared" si="17"/>
        <v>C</v>
      </c>
      <c r="B108" s="644">
        <f>B107+2</f>
        <v>17</v>
      </c>
      <c r="C108" s="645" t="str">
        <f t="shared" ca="1" si="9"/>
        <v>Slovenië</v>
      </c>
      <c r="D108" s="646" t="str">
        <f ca="1">IF(C108="","",Voorblad!$X$75)</f>
        <v>C1</v>
      </c>
      <c r="E108" s="658">
        <f t="shared" si="14"/>
        <v>18</v>
      </c>
      <c r="F108" s="659" t="str">
        <f t="shared" ca="1" si="15"/>
        <v>B3</v>
      </c>
      <c r="G108" s="658" t="str">
        <f t="shared" ca="1" si="10"/>
        <v/>
      </c>
      <c r="H108" s="659" t="str">
        <f t="shared" ca="1" si="10"/>
        <v/>
      </c>
      <c r="I108" s="658" t="str">
        <f t="shared" ca="1" si="10"/>
        <v>B3</v>
      </c>
      <c r="J108" s="659" t="str">
        <f t="shared" ca="1" si="10"/>
        <v>B3</v>
      </c>
      <c r="K108" s="658" t="str">
        <f t="shared" ca="1" si="10"/>
        <v>B3</v>
      </c>
      <c r="L108" s="659" t="str">
        <f t="shared" ca="1" si="10"/>
        <v/>
      </c>
      <c r="M108" s="658" t="str">
        <f t="shared" ca="1" si="10"/>
        <v>B3</v>
      </c>
      <c r="N108" s="659" t="str">
        <f t="shared" ca="1" si="10"/>
        <v/>
      </c>
      <c r="O108" s="658" t="str">
        <f t="shared" ca="1" si="16"/>
        <v/>
      </c>
      <c r="P108" s="659" t="str">
        <f t="shared" ca="1" si="16"/>
        <v>B3</v>
      </c>
      <c r="Q108" s="658" t="str">
        <f t="shared" ca="1" si="16"/>
        <v>B3</v>
      </c>
      <c r="R108" s="659" t="str">
        <f t="shared" ca="1" si="16"/>
        <v/>
      </c>
      <c r="S108" s="658" t="str">
        <f t="shared" ca="1" si="11"/>
        <v>B3</v>
      </c>
    </row>
    <row r="109" spans="1:19" s="651" customFormat="1" x14ac:dyDescent="0.25">
      <c r="A109" s="643" t="str">
        <f>A108</f>
        <v>C</v>
      </c>
      <c r="B109" s="644">
        <f>B108+1</f>
        <v>18</v>
      </c>
      <c r="C109" s="645" t="str">
        <f t="shared" ca="1" si="9"/>
        <v>Denemarken</v>
      </c>
      <c r="D109" s="646" t="str">
        <f ca="1">IF(C109="","",Voorblad!$X$76)</f>
        <v>C2</v>
      </c>
      <c r="E109" s="658">
        <f t="shared" si="14"/>
        <v>20</v>
      </c>
      <c r="F109" s="659" t="str">
        <f t="shared" ca="1" si="15"/>
        <v>B2</v>
      </c>
      <c r="G109" s="658" t="str">
        <f t="shared" ca="1" si="10"/>
        <v/>
      </c>
      <c r="H109" s="659" t="str">
        <f t="shared" ca="1" si="10"/>
        <v/>
      </c>
      <c r="I109" s="658" t="str">
        <f t="shared" ca="1" si="10"/>
        <v>B2</v>
      </c>
      <c r="J109" s="659" t="str">
        <f t="shared" ca="1" si="10"/>
        <v>B2</v>
      </c>
      <c r="K109" s="658" t="str">
        <f t="shared" ca="1" si="10"/>
        <v>B2</v>
      </c>
      <c r="L109" s="659" t="str">
        <f t="shared" ca="1" si="10"/>
        <v/>
      </c>
      <c r="M109" s="658" t="str">
        <f t="shared" ca="1" si="10"/>
        <v>B2</v>
      </c>
      <c r="N109" s="659" t="str">
        <f t="shared" ca="1" si="10"/>
        <v/>
      </c>
      <c r="O109" s="658" t="str">
        <f t="shared" ca="1" si="16"/>
        <v/>
      </c>
      <c r="P109" s="659" t="str">
        <f t="shared" ca="1" si="16"/>
        <v>B2</v>
      </c>
      <c r="Q109" s="658" t="str">
        <f t="shared" ca="1" si="16"/>
        <v>B2</v>
      </c>
      <c r="R109" s="659" t="str">
        <f t="shared" ca="1" si="16"/>
        <v/>
      </c>
      <c r="S109" s="658" t="str">
        <f t="shared" ca="1" si="11"/>
        <v>B2</v>
      </c>
    </row>
    <row r="110" spans="1:19" s="651" customFormat="1" x14ac:dyDescent="0.25">
      <c r="A110" s="643" t="str">
        <f t="shared" ref="A110:A112" si="19">A109</f>
        <v>C</v>
      </c>
      <c r="B110" s="644">
        <f t="shared" ref="B110:B111" si="20">B109+1</f>
        <v>19</v>
      </c>
      <c r="C110" s="645" t="str">
        <f t="shared" ca="1" si="9"/>
        <v>Servië</v>
      </c>
      <c r="D110" s="646" t="str">
        <f ca="1">IF(C110="","",Voorblad!$X$77)</f>
        <v>C3</v>
      </c>
      <c r="E110" s="658">
        <f t="shared" si="14"/>
        <v>22</v>
      </c>
      <c r="F110" s="659" t="str">
        <f t="shared" ca="1" si="15"/>
        <v>D2</v>
      </c>
      <c r="G110" s="658" t="str">
        <f t="shared" ca="1" si="10"/>
        <v>D2</v>
      </c>
      <c r="H110" s="659" t="str">
        <f t="shared" ca="1" si="10"/>
        <v>D2</v>
      </c>
      <c r="I110" s="658" t="str">
        <f t="shared" ca="1" si="10"/>
        <v/>
      </c>
      <c r="J110" s="659" t="str">
        <f t="shared" ca="1" si="10"/>
        <v>D2</v>
      </c>
      <c r="K110" s="658" t="str">
        <f t="shared" ca="1" si="10"/>
        <v>D2</v>
      </c>
      <c r="L110" s="659" t="str">
        <f t="shared" ca="1" si="10"/>
        <v/>
      </c>
      <c r="M110" s="658" t="str">
        <f t="shared" ca="1" si="10"/>
        <v/>
      </c>
      <c r="N110" s="659" t="str">
        <f t="shared" ca="1" si="10"/>
        <v>D2</v>
      </c>
      <c r="O110" s="658" t="str">
        <f t="shared" ca="1" si="16"/>
        <v>D2</v>
      </c>
      <c r="P110" s="659" t="str">
        <f t="shared" ca="1" si="16"/>
        <v/>
      </c>
      <c r="Q110" s="658" t="str">
        <f t="shared" ca="1" si="16"/>
        <v>D2</v>
      </c>
      <c r="R110" s="659" t="str">
        <f t="shared" ca="1" si="16"/>
        <v>D2</v>
      </c>
      <c r="S110" s="658" t="str">
        <f t="shared" ca="1" si="11"/>
        <v>D2</v>
      </c>
    </row>
    <row r="111" spans="1:19" s="651" customFormat="1" x14ac:dyDescent="0.25">
      <c r="A111" s="643" t="str">
        <f t="shared" si="19"/>
        <v>C</v>
      </c>
      <c r="B111" s="644">
        <f t="shared" si="20"/>
        <v>20</v>
      </c>
      <c r="C111" s="645" t="str">
        <f t="shared" ca="1" si="9"/>
        <v>Engeland</v>
      </c>
      <c r="D111" s="646" t="str">
        <f ca="1">IF(C111="","",Voorblad!$X$78)</f>
        <v>C4</v>
      </c>
      <c r="E111" s="658">
        <f t="shared" si="14"/>
        <v>24</v>
      </c>
      <c r="F111" s="659" t="str">
        <f t="shared" ca="1" si="15"/>
        <v>E4</v>
      </c>
      <c r="G111" s="658" t="str">
        <f t="shared" ca="1" si="10"/>
        <v>E4</v>
      </c>
      <c r="H111" s="659" t="str">
        <f t="shared" ca="1" si="10"/>
        <v>E4</v>
      </c>
      <c r="I111" s="658" t="str">
        <f t="shared" ca="1" si="10"/>
        <v/>
      </c>
      <c r="J111" s="659" t="str">
        <f t="shared" ca="1" si="10"/>
        <v/>
      </c>
      <c r="K111" s="658" t="str">
        <f t="shared" ca="1" si="10"/>
        <v>E4</v>
      </c>
      <c r="L111" s="659" t="str">
        <f t="shared" ca="1" si="10"/>
        <v/>
      </c>
      <c r="M111" s="658" t="str">
        <f t="shared" ca="1" si="10"/>
        <v/>
      </c>
      <c r="N111" s="659" t="str">
        <f t="shared" ca="1" si="10"/>
        <v>E4</v>
      </c>
      <c r="O111" s="658" t="str">
        <f t="shared" ca="1" si="16"/>
        <v>E4</v>
      </c>
      <c r="P111" s="659" t="str">
        <f t="shared" ca="1" si="16"/>
        <v/>
      </c>
      <c r="Q111" s="658" t="str">
        <f t="shared" ca="1" si="16"/>
        <v>E4</v>
      </c>
      <c r="R111" s="659" t="str">
        <f t="shared" ca="1" si="16"/>
        <v/>
      </c>
      <c r="S111" s="658" t="str">
        <f t="shared" ca="1" si="11"/>
        <v>E4</v>
      </c>
    </row>
    <row r="112" spans="1:19" s="651" customFormat="1" x14ac:dyDescent="0.25">
      <c r="A112" s="643" t="str">
        <f t="shared" si="19"/>
        <v>C</v>
      </c>
      <c r="B112" s="644">
        <f>B111+2</f>
        <v>22</v>
      </c>
      <c r="C112" s="645" t="str">
        <f t="shared" ca="1" si="9"/>
        <v>Polen</v>
      </c>
      <c r="D112" s="646" t="str">
        <f ca="1">IF(C112="","",Voorblad!$X$79)</f>
        <v>D1</v>
      </c>
      <c r="E112" s="658">
        <f t="shared" si="14"/>
        <v>26</v>
      </c>
      <c r="F112" s="659" t="str">
        <f t="shared" ca="1" si="15"/>
        <v>D3</v>
      </c>
      <c r="G112" s="658" t="str">
        <f t="shared" ca="1" si="10"/>
        <v>D3</v>
      </c>
      <c r="H112" s="659" t="str">
        <f t="shared" ca="1" si="10"/>
        <v>D3</v>
      </c>
      <c r="I112" s="658" t="str">
        <f t="shared" ca="1" si="10"/>
        <v/>
      </c>
      <c r="J112" s="659" t="str">
        <f t="shared" ca="1" si="10"/>
        <v>D3</v>
      </c>
      <c r="K112" s="658" t="str">
        <f t="shared" ca="1" si="10"/>
        <v>D3</v>
      </c>
      <c r="L112" s="659" t="str">
        <f t="shared" ca="1" si="10"/>
        <v/>
      </c>
      <c r="M112" s="658" t="str">
        <f t="shared" ca="1" si="10"/>
        <v/>
      </c>
      <c r="N112" s="659" t="str">
        <f t="shared" ca="1" si="10"/>
        <v>D3</v>
      </c>
      <c r="O112" s="658" t="str">
        <f t="shared" ca="1" si="16"/>
        <v>D3</v>
      </c>
      <c r="P112" s="659" t="str">
        <f t="shared" ca="1" si="16"/>
        <v/>
      </c>
      <c r="Q112" s="658" t="str">
        <f t="shared" ca="1" si="16"/>
        <v>D3</v>
      </c>
      <c r="R112" s="659" t="str">
        <f t="shared" ca="1" si="16"/>
        <v>D3</v>
      </c>
      <c r="S112" s="658" t="str">
        <f t="shared" ca="1" si="11"/>
        <v>D3</v>
      </c>
    </row>
    <row r="113" spans="1:19" s="651" customFormat="1" x14ac:dyDescent="0.25">
      <c r="A113" s="643" t="str">
        <f>A112</f>
        <v>C</v>
      </c>
      <c r="B113" s="644">
        <f>B112+1</f>
        <v>23</v>
      </c>
      <c r="C113" s="645" t="str">
        <f t="shared" ca="1" si="9"/>
        <v>Nederland</v>
      </c>
      <c r="D113" s="646" t="str">
        <f ca="1">IF(C113="","",Voorblad!$X$80)</f>
        <v>D2</v>
      </c>
      <c r="E113" s="658">
        <f t="shared" si="14"/>
        <v>28</v>
      </c>
      <c r="F113" s="659" t="str">
        <f t="shared" ca="1" si="15"/>
        <v>D1</v>
      </c>
      <c r="G113" s="658" t="str">
        <f t="shared" ca="1" si="10"/>
        <v>D1</v>
      </c>
      <c r="H113" s="659" t="str">
        <f t="shared" ca="1" si="10"/>
        <v>D1</v>
      </c>
      <c r="I113" s="658" t="str">
        <f t="shared" ca="1" si="10"/>
        <v/>
      </c>
      <c r="J113" s="659" t="str">
        <f t="shared" ca="1" si="10"/>
        <v>D1</v>
      </c>
      <c r="K113" s="658" t="str">
        <f t="shared" ca="1" si="10"/>
        <v>D1</v>
      </c>
      <c r="L113" s="659" t="str">
        <f t="shared" ca="1" si="10"/>
        <v/>
      </c>
      <c r="M113" s="658" t="str">
        <f t="shared" ca="1" si="10"/>
        <v/>
      </c>
      <c r="N113" s="659" t="str">
        <f t="shared" ca="1" si="10"/>
        <v>D1</v>
      </c>
      <c r="O113" s="658" t="str">
        <f t="shared" ca="1" si="16"/>
        <v>D1</v>
      </c>
      <c r="P113" s="659" t="str">
        <f t="shared" ca="1" si="16"/>
        <v/>
      </c>
      <c r="Q113" s="658" t="str">
        <f t="shared" ca="1" si="16"/>
        <v>D1</v>
      </c>
      <c r="R113" s="659" t="str">
        <f t="shared" ca="1" si="16"/>
        <v>D1</v>
      </c>
      <c r="S113" s="658" t="str">
        <f t="shared" ca="1" si="11"/>
        <v>D1</v>
      </c>
    </row>
    <row r="114" spans="1:19" s="651" customFormat="1" x14ac:dyDescent="0.25">
      <c r="A114" s="643" t="str">
        <f t="shared" ref="A114:A116" si="21">A113</f>
        <v>C</v>
      </c>
      <c r="B114" s="644">
        <f t="shared" ref="B114:B115" si="22">B113+1</f>
        <v>24</v>
      </c>
      <c r="C114" s="645" t="str">
        <f t="shared" ca="1" si="9"/>
        <v>Oostenrijk</v>
      </c>
      <c r="D114" s="646" t="str">
        <f ca="1">IF(C114="","",Voorblad!$X$81)</f>
        <v>D3</v>
      </c>
      <c r="E114" s="658">
        <f t="shared" si="14"/>
        <v>30</v>
      </c>
      <c r="F114" s="659" t="str">
        <f t="shared" ca="1" si="15"/>
        <v>F3</v>
      </c>
      <c r="G114" s="658" t="str">
        <f t="shared" ca="1" si="10"/>
        <v>F3</v>
      </c>
      <c r="H114" s="659" t="str">
        <f t="shared" ca="1" si="10"/>
        <v>F3</v>
      </c>
      <c r="I114" s="658" t="str">
        <f t="shared" ca="1" si="10"/>
        <v/>
      </c>
      <c r="J114" s="659" t="str">
        <f t="shared" ca="1" si="10"/>
        <v/>
      </c>
      <c r="K114" s="658" t="str">
        <f t="shared" ca="1" si="10"/>
        <v>F3</v>
      </c>
      <c r="L114" s="659" t="str">
        <f t="shared" ca="1" si="10"/>
        <v/>
      </c>
      <c r="M114" s="658" t="str">
        <f t="shared" ca="1" si="10"/>
        <v>F3</v>
      </c>
      <c r="N114" s="659" t="str">
        <f t="shared" ca="1" si="10"/>
        <v/>
      </c>
      <c r="O114" s="658" t="str">
        <f t="shared" ca="1" si="16"/>
        <v>F3</v>
      </c>
      <c r="P114" s="659" t="str">
        <f t="shared" ca="1" si="16"/>
        <v/>
      </c>
      <c r="Q114" s="658" t="str">
        <f t="shared" ca="1" si="16"/>
        <v/>
      </c>
      <c r="R114" s="659" t="str">
        <f t="shared" ca="1" si="16"/>
        <v>F3</v>
      </c>
      <c r="S114" s="658" t="str">
        <f t="shared" ca="1" si="11"/>
        <v>F3</v>
      </c>
    </row>
    <row r="115" spans="1:19" s="651" customFormat="1" x14ac:dyDescent="0.25">
      <c r="A115" s="643" t="str">
        <f t="shared" si="21"/>
        <v>C</v>
      </c>
      <c r="B115" s="644">
        <f t="shared" si="22"/>
        <v>25</v>
      </c>
      <c r="C115" s="645" t="str">
        <f t="shared" ca="1" si="9"/>
        <v>Frankrijk</v>
      </c>
      <c r="D115" s="646" t="str">
        <f ca="1">IF(C115="","",Voorblad!$X$82)</f>
        <v>D4</v>
      </c>
      <c r="E115" s="658">
        <f t="shared" si="14"/>
        <v>32</v>
      </c>
      <c r="F115" s="659" t="str">
        <f t="shared" ca="1" si="15"/>
        <v>E3</v>
      </c>
      <c r="G115" s="658" t="str">
        <f t="shared" ca="1" si="10"/>
        <v>E3</v>
      </c>
      <c r="H115" s="659" t="str">
        <f t="shared" ca="1" si="10"/>
        <v>E3</v>
      </c>
      <c r="I115" s="658" t="str">
        <f t="shared" ca="1" si="10"/>
        <v/>
      </c>
      <c r="J115" s="659" t="str">
        <f t="shared" ca="1" si="10"/>
        <v/>
      </c>
      <c r="K115" s="658" t="str">
        <f t="shared" ca="1" si="10"/>
        <v>E3</v>
      </c>
      <c r="L115" s="659" t="str">
        <f t="shared" ca="1" si="10"/>
        <v/>
      </c>
      <c r="M115" s="658" t="str">
        <f t="shared" ca="1" si="10"/>
        <v/>
      </c>
      <c r="N115" s="659" t="str">
        <f t="shared" ca="1" si="10"/>
        <v>E3</v>
      </c>
      <c r="O115" s="658" t="str">
        <f t="shared" ca="1" si="16"/>
        <v>E3</v>
      </c>
      <c r="P115" s="659" t="str">
        <f t="shared" ca="1" si="16"/>
        <v/>
      </c>
      <c r="Q115" s="658" t="str">
        <f t="shared" ca="1" si="16"/>
        <v>E3</v>
      </c>
      <c r="R115" s="659" t="str">
        <f t="shared" ca="1" si="16"/>
        <v/>
      </c>
      <c r="S115" s="658" t="str">
        <f t="shared" ca="1" si="11"/>
        <v>E3</v>
      </c>
    </row>
    <row r="116" spans="1:19" s="651" customFormat="1" x14ac:dyDescent="0.25">
      <c r="A116" s="643" t="str">
        <f t="shared" si="21"/>
        <v>C</v>
      </c>
      <c r="B116" s="644">
        <f>B115+2</f>
        <v>27</v>
      </c>
      <c r="C116" s="645" t="str">
        <f t="shared" ca="1" si="9"/>
        <v>België</v>
      </c>
      <c r="D116" s="646" t="str">
        <f ca="1">IF(C116="","",Voorblad!$X$83)</f>
        <v>E1</v>
      </c>
      <c r="E116" s="658">
        <f t="shared" si="14"/>
        <v>34</v>
      </c>
      <c r="F116" s="659" t="str">
        <f t="shared" ca="1" si="15"/>
        <v>A2</v>
      </c>
      <c r="G116" s="658" t="str">
        <f t="shared" ca="1" si="10"/>
        <v/>
      </c>
      <c r="H116" s="659" t="str">
        <f t="shared" ca="1" si="10"/>
        <v>A2</v>
      </c>
      <c r="I116" s="658" t="str">
        <f t="shared" ca="1" si="10"/>
        <v>A2</v>
      </c>
      <c r="J116" s="659" t="str">
        <f t="shared" ca="1" si="10"/>
        <v>A2</v>
      </c>
      <c r="K116" s="658" t="str">
        <f t="shared" ca="1" si="10"/>
        <v>A2</v>
      </c>
      <c r="L116" s="659" t="str">
        <f t="shared" ca="1" si="10"/>
        <v>A2</v>
      </c>
      <c r="M116" s="658" t="str">
        <f t="shared" ca="1" si="10"/>
        <v>A2</v>
      </c>
      <c r="N116" s="659" t="str">
        <f t="shared" ca="1" si="10"/>
        <v/>
      </c>
      <c r="O116" s="658" t="str">
        <f t="shared" ca="1" si="16"/>
        <v/>
      </c>
      <c r="P116" s="659" t="str">
        <f t="shared" ca="1" si="16"/>
        <v>A2</v>
      </c>
      <c r="Q116" s="658" t="str">
        <f t="shared" ca="1" si="16"/>
        <v>A2</v>
      </c>
      <c r="R116" s="659" t="str">
        <f t="shared" ca="1" si="16"/>
        <v/>
      </c>
      <c r="S116" s="658" t="str">
        <f t="shared" ca="1" si="11"/>
        <v>A2</v>
      </c>
    </row>
    <row r="117" spans="1:19" s="651" customFormat="1" x14ac:dyDescent="0.25">
      <c r="A117" s="643" t="str">
        <f>A116</f>
        <v>C</v>
      </c>
      <c r="B117" s="644">
        <f>B116+1</f>
        <v>28</v>
      </c>
      <c r="C117" s="645" t="str">
        <f t="shared" ca="1" si="9"/>
        <v>Slowakije</v>
      </c>
      <c r="D117" s="646" t="str">
        <f ca="1">IF(C117="","",Voorblad!$X$84)</f>
        <v>E2</v>
      </c>
      <c r="E117" s="658">
        <f t="shared" si="14"/>
        <v>36</v>
      </c>
      <c r="F117" s="659" t="str">
        <f t="shared" ca="1" si="15"/>
        <v>C3</v>
      </c>
      <c r="G117" s="658" t="str">
        <f t="shared" ca="1" si="10"/>
        <v/>
      </c>
      <c r="H117" s="659" t="str">
        <f t="shared" ca="1" si="10"/>
        <v/>
      </c>
      <c r="I117" s="658" t="str">
        <f t="shared" ca="1" si="10"/>
        <v>C3</v>
      </c>
      <c r="J117" s="659" t="str">
        <f t="shared" ca="1" si="10"/>
        <v>C3</v>
      </c>
      <c r="K117" s="658" t="str">
        <f t="shared" ca="1" si="10"/>
        <v/>
      </c>
      <c r="L117" s="659" t="str">
        <f t="shared" ca="1" si="10"/>
        <v>C3</v>
      </c>
      <c r="M117" s="658" t="str">
        <f t="shared" ca="1" si="10"/>
        <v>C3</v>
      </c>
      <c r="N117" s="659" t="str">
        <f t="shared" ca="1" si="10"/>
        <v/>
      </c>
      <c r="O117" s="658" t="str">
        <f t="shared" ca="1" si="16"/>
        <v>C3</v>
      </c>
      <c r="P117" s="659" t="str">
        <f t="shared" ca="1" si="16"/>
        <v/>
      </c>
      <c r="Q117" s="658" t="str">
        <f t="shared" ca="1" si="16"/>
        <v>C3</v>
      </c>
      <c r="R117" s="659" t="str">
        <f t="shared" ca="1" si="16"/>
        <v/>
      </c>
      <c r="S117" s="658" t="str">
        <f t="shared" ca="1" si="11"/>
        <v>C3</v>
      </c>
    </row>
    <row r="118" spans="1:19" s="651" customFormat="1" x14ac:dyDescent="0.25">
      <c r="A118" s="643" t="str">
        <f t="shared" ref="A118:A120" si="23">A117</f>
        <v>C</v>
      </c>
      <c r="B118" s="644">
        <f t="shared" ref="B118:B119" si="24">B117+1</f>
        <v>29</v>
      </c>
      <c r="C118" s="645" t="str">
        <f t="shared" ca="1" si="9"/>
        <v>Roemenië</v>
      </c>
      <c r="D118" s="646" t="str">
        <f ca="1">IF(C118="","",Voorblad!$X$85)</f>
        <v>E3</v>
      </c>
      <c r="E118" s="658">
        <f t="shared" si="14"/>
        <v>38</v>
      </c>
      <c r="F118" s="659" t="str">
        <f t="shared" ca="1" si="15"/>
        <v>C1</v>
      </c>
      <c r="G118" s="658" t="str">
        <f t="shared" ca="1" si="10"/>
        <v/>
      </c>
      <c r="H118" s="659" t="str">
        <f t="shared" ca="1" si="10"/>
        <v/>
      </c>
      <c r="I118" s="658" t="str">
        <f t="shared" ca="1" si="10"/>
        <v>C1</v>
      </c>
      <c r="J118" s="659" t="str">
        <f t="shared" ca="1" si="10"/>
        <v>C1</v>
      </c>
      <c r="K118" s="658" t="str">
        <f t="shared" ca="1" si="10"/>
        <v/>
      </c>
      <c r="L118" s="659" t="str">
        <f t="shared" ca="1" si="10"/>
        <v>C1</v>
      </c>
      <c r="M118" s="658" t="str">
        <f t="shared" ca="1" si="10"/>
        <v>C1</v>
      </c>
      <c r="N118" s="659" t="str">
        <f t="shared" ca="1" si="10"/>
        <v/>
      </c>
      <c r="O118" s="658" t="str">
        <f t="shared" ca="1" si="16"/>
        <v>C1</v>
      </c>
      <c r="P118" s="659" t="str">
        <f t="shared" ca="1" si="16"/>
        <v/>
      </c>
      <c r="Q118" s="658" t="str">
        <f t="shared" ca="1" si="16"/>
        <v>C1</v>
      </c>
      <c r="R118" s="659" t="str">
        <f t="shared" ca="1" si="16"/>
        <v/>
      </c>
      <c r="S118" s="658" t="str">
        <f t="shared" ca="1" si="11"/>
        <v>C1</v>
      </c>
    </row>
    <row r="119" spans="1:19" s="651" customFormat="1" x14ac:dyDescent="0.25">
      <c r="A119" s="643" t="str">
        <f t="shared" si="23"/>
        <v>C</v>
      </c>
      <c r="B119" s="644">
        <f t="shared" si="24"/>
        <v>30</v>
      </c>
      <c r="C119" s="645" t="str">
        <f t="shared" ca="1" si="9"/>
        <v>Oekraïne</v>
      </c>
      <c r="D119" s="646" t="str">
        <f ca="1">IF(C119="","",Voorblad!$X$86)</f>
        <v>E4</v>
      </c>
      <c r="E119" s="658">
        <f t="shared" si="14"/>
        <v>40</v>
      </c>
      <c r="F119" s="659" t="str">
        <f t="shared" ca="1" si="15"/>
        <v>E2</v>
      </c>
      <c r="G119" s="658" t="str">
        <f t="shared" ca="1" si="10"/>
        <v>E2</v>
      </c>
      <c r="H119" s="659" t="str">
        <f t="shared" ca="1" si="10"/>
        <v>E2</v>
      </c>
      <c r="I119" s="658" t="str">
        <f t="shared" ca="1" si="10"/>
        <v/>
      </c>
      <c r="J119" s="659" t="str">
        <f t="shared" ca="1" si="10"/>
        <v/>
      </c>
      <c r="K119" s="658" t="str">
        <f t="shared" ca="1" si="10"/>
        <v>E2</v>
      </c>
      <c r="L119" s="659" t="str">
        <f t="shared" ca="1" si="10"/>
        <v/>
      </c>
      <c r="M119" s="658" t="str">
        <f t="shared" ca="1" si="10"/>
        <v/>
      </c>
      <c r="N119" s="659" t="str">
        <f t="shared" ca="1" si="10"/>
        <v>E2</v>
      </c>
      <c r="O119" s="658" t="str">
        <f t="shared" ca="1" si="16"/>
        <v>E2</v>
      </c>
      <c r="P119" s="659" t="str">
        <f t="shared" ca="1" si="16"/>
        <v/>
      </c>
      <c r="Q119" s="658" t="str">
        <f t="shared" ca="1" si="16"/>
        <v>E2</v>
      </c>
      <c r="R119" s="659" t="str">
        <f t="shared" ca="1" si="16"/>
        <v/>
      </c>
      <c r="S119" s="658" t="str">
        <f t="shared" ca="1" si="11"/>
        <v>E2</v>
      </c>
    </row>
    <row r="120" spans="1:19" s="651" customFormat="1" x14ac:dyDescent="0.25">
      <c r="A120" s="643" t="str">
        <f t="shared" si="23"/>
        <v>C</v>
      </c>
      <c r="B120" s="644">
        <f>B119+2</f>
        <v>32</v>
      </c>
      <c r="C120" s="645" t="str">
        <f t="shared" ca="1" si="9"/>
        <v>Turkije</v>
      </c>
      <c r="D120" s="646" t="str">
        <f ca="1">IF(C120="","",Voorblad!$X$87)</f>
        <v>F1</v>
      </c>
      <c r="E120" s="658">
        <f t="shared" si="14"/>
        <v>42</v>
      </c>
      <c r="F120" s="659" t="str">
        <f t="shared" ca="1" si="15"/>
        <v>B1</v>
      </c>
      <c r="G120" s="658" t="str">
        <f t="shared" ca="1" si="10"/>
        <v/>
      </c>
      <c r="H120" s="659" t="str">
        <f t="shared" ca="1" si="10"/>
        <v/>
      </c>
      <c r="I120" s="658" t="str">
        <f t="shared" ca="1" si="10"/>
        <v>B1</v>
      </c>
      <c r="J120" s="659" t="str">
        <f t="shared" ca="1" si="10"/>
        <v>B1</v>
      </c>
      <c r="K120" s="658" t="str">
        <f t="shared" ca="1" si="10"/>
        <v>B1</v>
      </c>
      <c r="L120" s="659" t="str">
        <f t="shared" ca="1" si="10"/>
        <v/>
      </c>
      <c r="M120" s="658" t="str">
        <f t="shared" ca="1" si="10"/>
        <v>B1</v>
      </c>
      <c r="N120" s="659" t="str">
        <f t="shared" ca="1" si="10"/>
        <v/>
      </c>
      <c r="O120" s="658" t="str">
        <f t="shared" ca="1" si="16"/>
        <v/>
      </c>
      <c r="P120" s="659" t="str">
        <f t="shared" ca="1" si="16"/>
        <v>B1</v>
      </c>
      <c r="Q120" s="658" t="str">
        <f t="shared" ca="1" si="16"/>
        <v>B1</v>
      </c>
      <c r="R120" s="659" t="str">
        <f t="shared" ca="1" si="16"/>
        <v/>
      </c>
      <c r="S120" s="658" t="str">
        <f t="shared" ca="1" si="11"/>
        <v>B1</v>
      </c>
    </row>
    <row r="121" spans="1:19" s="651" customFormat="1" x14ac:dyDescent="0.25">
      <c r="A121" s="643" t="str">
        <f>A120</f>
        <v>C</v>
      </c>
      <c r="B121" s="644">
        <f>B120+1</f>
        <v>33</v>
      </c>
      <c r="C121" s="645" t="str">
        <f t="shared" ca="1" si="9"/>
        <v>Georgië</v>
      </c>
      <c r="D121" s="646" t="str">
        <f ca="1">IF(C121="","",Voorblad!$X$88)</f>
        <v>F2</v>
      </c>
      <c r="E121" s="658">
        <f t="shared" si="14"/>
        <v>44</v>
      </c>
      <c r="F121" s="659" t="str">
        <f t="shared" ca="1" si="15"/>
        <v>F4</v>
      </c>
      <c r="G121" s="658" t="str">
        <f t="shared" ca="1" si="10"/>
        <v>F4</v>
      </c>
      <c r="H121" s="659" t="str">
        <f t="shared" ca="1" si="10"/>
        <v>F4</v>
      </c>
      <c r="I121" s="658" t="str">
        <f t="shared" ca="1" si="10"/>
        <v/>
      </c>
      <c r="J121" s="659" t="str">
        <f t="shared" ca="1" si="10"/>
        <v/>
      </c>
      <c r="K121" s="658" t="str">
        <f t="shared" ca="1" si="10"/>
        <v>F4</v>
      </c>
      <c r="L121" s="659" t="str">
        <f t="shared" ca="1" si="10"/>
        <v/>
      </c>
      <c r="M121" s="658" t="str">
        <f t="shared" ca="1" si="10"/>
        <v>F4</v>
      </c>
      <c r="N121" s="659" t="str">
        <f t="shared" ca="1" si="10"/>
        <v/>
      </c>
      <c r="O121" s="658" t="str">
        <f t="shared" ca="1" si="16"/>
        <v>F4</v>
      </c>
      <c r="P121" s="659" t="str">
        <f t="shared" ca="1" si="16"/>
        <v/>
      </c>
      <c r="Q121" s="658" t="str">
        <f t="shared" ca="1" si="16"/>
        <v/>
      </c>
      <c r="R121" s="659" t="str">
        <f t="shared" ca="1" si="16"/>
        <v>F4</v>
      </c>
      <c r="S121" s="658" t="str">
        <f t="shared" ca="1" si="11"/>
        <v>F4</v>
      </c>
    </row>
    <row r="122" spans="1:19" s="651" customFormat="1" x14ac:dyDescent="0.25">
      <c r="A122" s="643" t="str">
        <f t="shared" ref="A122:A124" si="25">A121</f>
        <v>C</v>
      </c>
      <c r="B122" s="644">
        <f t="shared" ref="B122:B123" si="26">B121+1</f>
        <v>34</v>
      </c>
      <c r="C122" s="645" t="str">
        <f t="shared" ca="1" si="9"/>
        <v>Portugal</v>
      </c>
      <c r="D122" s="646" t="str">
        <f ca="1">IF(C122="","",Voorblad!$X$89)</f>
        <v>F3</v>
      </c>
      <c r="E122" s="658">
        <f t="shared" si="14"/>
        <v>46</v>
      </c>
      <c r="F122" s="659" t="str">
        <f t="shared" ca="1" si="15"/>
        <v>F1</v>
      </c>
      <c r="G122" s="658" t="str">
        <f t="shared" ca="1" si="10"/>
        <v>F1</v>
      </c>
      <c r="H122" s="659" t="str">
        <f t="shared" ca="1" si="10"/>
        <v>F1</v>
      </c>
      <c r="I122" s="658" t="str">
        <f t="shared" ca="1" si="10"/>
        <v/>
      </c>
      <c r="J122" s="659" t="str">
        <f t="shared" ca="1" si="10"/>
        <v/>
      </c>
      <c r="K122" s="658" t="str">
        <f t="shared" ca="1" si="10"/>
        <v>F1</v>
      </c>
      <c r="L122" s="659" t="str">
        <f t="shared" ca="1" si="10"/>
        <v/>
      </c>
      <c r="M122" s="658" t="str">
        <f t="shared" ca="1" si="10"/>
        <v>F1</v>
      </c>
      <c r="N122" s="659" t="str">
        <f t="shared" ca="1" si="10"/>
        <v/>
      </c>
      <c r="O122" s="658" t="str">
        <f t="shared" ca="1" si="16"/>
        <v>F1</v>
      </c>
      <c r="P122" s="659" t="str">
        <f t="shared" ca="1" si="16"/>
        <v/>
      </c>
      <c r="Q122" s="658" t="str">
        <f t="shared" ca="1" si="16"/>
        <v/>
      </c>
      <c r="R122" s="659" t="str">
        <f t="shared" ca="1" si="16"/>
        <v>F1</v>
      </c>
      <c r="S122" s="658" t="str">
        <f t="shared" ca="1" si="11"/>
        <v>F1</v>
      </c>
    </row>
    <row r="123" spans="1:19" s="651" customFormat="1" x14ac:dyDescent="0.25">
      <c r="A123" s="643" t="str">
        <f t="shared" si="25"/>
        <v>C</v>
      </c>
      <c r="B123" s="644">
        <f t="shared" si="26"/>
        <v>35</v>
      </c>
      <c r="C123" s="645" t="str">
        <f t="shared" ca="1" si="9"/>
        <v>Tsjechië</v>
      </c>
      <c r="D123" s="646" t="str">
        <f ca="1">IF(C123="","",Voorblad!$X$90)</f>
        <v>F4</v>
      </c>
      <c r="E123" s="658">
        <f t="shared" si="14"/>
        <v>48</v>
      </c>
      <c r="F123" s="659" t="str">
        <f t="shared" ca="1" si="15"/>
        <v>A4</v>
      </c>
      <c r="G123" s="658" t="str">
        <f t="shared" ca="1" si="10"/>
        <v/>
      </c>
      <c r="H123" s="659" t="str">
        <f t="shared" ca="1" si="10"/>
        <v>A4</v>
      </c>
      <c r="I123" s="658" t="str">
        <f t="shared" ca="1" si="10"/>
        <v>A4</v>
      </c>
      <c r="J123" s="659" t="str">
        <f t="shared" ca="1" si="10"/>
        <v>A4</v>
      </c>
      <c r="K123" s="658" t="str">
        <f t="shared" ca="1" si="10"/>
        <v>A4</v>
      </c>
      <c r="L123" s="659" t="str">
        <f t="shared" ca="1" si="10"/>
        <v>A4</v>
      </c>
      <c r="M123" s="658" t="str">
        <f t="shared" ca="1" si="10"/>
        <v>A4</v>
      </c>
      <c r="N123" s="659" t="str">
        <f t="shared" ca="1" si="10"/>
        <v/>
      </c>
      <c r="O123" s="658" t="str">
        <f t="shared" ca="1" si="16"/>
        <v/>
      </c>
      <c r="P123" s="659" t="str">
        <f t="shared" ca="1" si="16"/>
        <v>A4</v>
      </c>
      <c r="Q123" s="658" t="str">
        <f t="shared" ca="1" si="16"/>
        <v>A4</v>
      </c>
      <c r="R123" s="659" t="str">
        <f t="shared" ca="1" si="16"/>
        <v/>
      </c>
      <c r="S123" s="658" t="str">
        <f t="shared" ca="1" si="11"/>
        <v>A4</v>
      </c>
    </row>
    <row r="124" spans="1:19" s="651" customFormat="1" x14ac:dyDescent="0.25">
      <c r="A124" s="643" t="str">
        <f t="shared" si="25"/>
        <v>C</v>
      </c>
      <c r="B124" s="644">
        <f>B123+2</f>
        <v>37</v>
      </c>
      <c r="C124" s="645" t="str">
        <f t="shared" ca="1" si="9"/>
        <v>ZZZ_land_G1</v>
      </c>
      <c r="D124" s="646" t="str">
        <f ca="1">IF(C124="","",Voorblad!$X$91)</f>
        <v>G1</v>
      </c>
      <c r="E124" s="658">
        <f t="shared" si="14"/>
        <v>50</v>
      </c>
      <c r="F124" s="659" t="str">
        <f t="shared" ca="1" si="15"/>
        <v>G1</v>
      </c>
      <c r="G124" s="658" t="str">
        <f t="shared" ca="1" si="10"/>
        <v/>
      </c>
      <c r="H124" s="659" t="str">
        <f t="shared" ca="1" si="10"/>
        <v/>
      </c>
      <c r="I124" s="658" t="str">
        <f t="shared" ca="1" si="10"/>
        <v/>
      </c>
      <c r="J124" s="659" t="str">
        <f t="shared" ca="1" si="10"/>
        <v/>
      </c>
      <c r="K124" s="658" t="str">
        <f t="shared" ca="1" si="10"/>
        <v/>
      </c>
      <c r="L124" s="659" t="str">
        <f t="shared" ca="1" si="10"/>
        <v/>
      </c>
      <c r="M124" s="658" t="str">
        <f t="shared" ca="1" si="10"/>
        <v/>
      </c>
      <c r="N124" s="659" t="str">
        <f t="shared" ca="1" si="10"/>
        <v/>
      </c>
      <c r="O124" s="658" t="str">
        <f t="shared" ca="1" si="16"/>
        <v/>
      </c>
      <c r="P124" s="659" t="str">
        <f t="shared" ca="1" si="16"/>
        <v/>
      </c>
      <c r="Q124" s="658" t="str">
        <f t="shared" ca="1" si="16"/>
        <v/>
      </c>
      <c r="R124" s="659" t="str">
        <f t="shared" ca="1" si="16"/>
        <v/>
      </c>
      <c r="S124" s="658" t="str">
        <f t="shared" ca="1" si="11"/>
        <v/>
      </c>
    </row>
    <row r="125" spans="1:19" s="651" customFormat="1" x14ac:dyDescent="0.25">
      <c r="A125" s="643" t="str">
        <f>A124</f>
        <v>C</v>
      </c>
      <c r="B125" s="644">
        <f>B124+1</f>
        <v>38</v>
      </c>
      <c r="C125" s="645" t="str">
        <f t="shared" ca="1" si="9"/>
        <v>ZZZ_land_G2</v>
      </c>
      <c r="D125" s="646" t="str">
        <f ca="1">IF(C125="","",Voorblad!$X$92)</f>
        <v>G2</v>
      </c>
      <c r="E125" s="658">
        <f t="shared" si="14"/>
        <v>52</v>
      </c>
      <c r="F125" s="659" t="str">
        <f t="shared" ca="1" si="15"/>
        <v>G2</v>
      </c>
      <c r="G125" s="658" t="str">
        <f t="shared" ca="1" si="10"/>
        <v/>
      </c>
      <c r="H125" s="659" t="str">
        <f t="shared" ca="1" si="10"/>
        <v/>
      </c>
      <c r="I125" s="658" t="str">
        <f t="shared" ca="1" si="10"/>
        <v/>
      </c>
      <c r="J125" s="659" t="str">
        <f t="shared" ca="1" si="10"/>
        <v/>
      </c>
      <c r="K125" s="658" t="str">
        <f t="shared" ca="1" si="10"/>
        <v/>
      </c>
      <c r="L125" s="659" t="str">
        <f t="shared" ca="1" si="10"/>
        <v/>
      </c>
      <c r="M125" s="658" t="str">
        <f t="shared" ca="1" si="10"/>
        <v/>
      </c>
      <c r="N125" s="659" t="str">
        <f t="shared" ca="1" si="10"/>
        <v/>
      </c>
      <c r="O125" s="658" t="str">
        <f t="shared" ca="1" si="16"/>
        <v/>
      </c>
      <c r="P125" s="659" t="str">
        <f t="shared" ca="1" si="16"/>
        <v/>
      </c>
      <c r="Q125" s="658" t="str">
        <f t="shared" ca="1" si="16"/>
        <v/>
      </c>
      <c r="R125" s="659" t="str">
        <f t="shared" ca="1" si="16"/>
        <v/>
      </c>
      <c r="S125" s="658" t="str">
        <f t="shared" ca="1" si="11"/>
        <v/>
      </c>
    </row>
    <row r="126" spans="1:19" s="651" customFormat="1" x14ac:dyDescent="0.25">
      <c r="A126" s="643" t="str">
        <f t="shared" ref="A126:A128" si="27">A125</f>
        <v>C</v>
      </c>
      <c r="B126" s="644">
        <f t="shared" ref="B126:B127" si="28">B125+1</f>
        <v>39</v>
      </c>
      <c r="C126" s="645" t="str">
        <f t="shared" ca="1" si="9"/>
        <v>ZZZ_land_G3</v>
      </c>
      <c r="D126" s="646" t="str">
        <f ca="1">IF(C126="","",Voorblad!$X$93)</f>
        <v>G3</v>
      </c>
      <c r="E126" s="658">
        <f t="shared" si="14"/>
        <v>54</v>
      </c>
      <c r="F126" s="659" t="str">
        <f t="shared" ca="1" si="15"/>
        <v>G3</v>
      </c>
      <c r="G126" s="658" t="str">
        <f t="shared" ca="1" si="10"/>
        <v/>
      </c>
      <c r="H126" s="659" t="str">
        <f t="shared" ca="1" si="10"/>
        <v/>
      </c>
      <c r="I126" s="658" t="str">
        <f t="shared" ca="1" si="10"/>
        <v/>
      </c>
      <c r="J126" s="659" t="str">
        <f t="shared" ca="1" si="10"/>
        <v/>
      </c>
      <c r="K126" s="658" t="str">
        <f t="shared" ca="1" si="10"/>
        <v/>
      </c>
      <c r="L126" s="659" t="str">
        <f t="shared" ca="1" si="10"/>
        <v/>
      </c>
      <c r="M126" s="658" t="str">
        <f t="shared" ca="1" si="10"/>
        <v/>
      </c>
      <c r="N126" s="659" t="str">
        <f t="shared" ca="1" si="10"/>
        <v/>
      </c>
      <c r="O126" s="658" t="str">
        <f t="shared" ca="1" si="16"/>
        <v/>
      </c>
      <c r="P126" s="659" t="str">
        <f t="shared" ca="1" si="16"/>
        <v/>
      </c>
      <c r="Q126" s="658" t="str">
        <f t="shared" ca="1" si="16"/>
        <v/>
      </c>
      <c r="R126" s="659" t="str">
        <f t="shared" ca="1" si="16"/>
        <v/>
      </c>
      <c r="S126" s="658" t="str">
        <f t="shared" ca="1" si="11"/>
        <v/>
      </c>
    </row>
    <row r="127" spans="1:19" s="651" customFormat="1" x14ac:dyDescent="0.25">
      <c r="A127" s="643" t="str">
        <f t="shared" si="27"/>
        <v>C</v>
      </c>
      <c r="B127" s="644">
        <f t="shared" si="28"/>
        <v>40</v>
      </c>
      <c r="C127" s="645" t="str">
        <f t="shared" ca="1" si="9"/>
        <v>ZZZ_land_G4</v>
      </c>
      <c r="D127" s="646" t="str">
        <f ca="1">IF(C127="","",Voorblad!$X$94)</f>
        <v>G4</v>
      </c>
      <c r="E127" s="658">
        <f t="shared" si="14"/>
        <v>56</v>
      </c>
      <c r="F127" s="659" t="str">
        <f t="shared" ca="1" si="15"/>
        <v>G4</v>
      </c>
      <c r="G127" s="658" t="str">
        <f t="shared" ca="1" si="10"/>
        <v/>
      </c>
      <c r="H127" s="659" t="str">
        <f t="shared" ca="1" si="10"/>
        <v/>
      </c>
      <c r="I127" s="658" t="str">
        <f t="shared" ca="1" si="10"/>
        <v/>
      </c>
      <c r="J127" s="659" t="str">
        <f t="shared" ca="1" si="10"/>
        <v/>
      </c>
      <c r="K127" s="658" t="str">
        <f t="shared" ca="1" si="10"/>
        <v/>
      </c>
      <c r="L127" s="659" t="str">
        <f t="shared" ca="1" si="10"/>
        <v/>
      </c>
      <c r="M127" s="658" t="str">
        <f t="shared" ca="1" si="10"/>
        <v/>
      </c>
      <c r="N127" s="659" t="str">
        <f t="shared" ca="1" si="10"/>
        <v/>
      </c>
      <c r="O127" s="658" t="str">
        <f t="shared" ca="1" si="16"/>
        <v/>
      </c>
      <c r="P127" s="659" t="str">
        <f t="shared" ca="1" si="16"/>
        <v/>
      </c>
      <c r="Q127" s="658" t="str">
        <f t="shared" ca="1" si="16"/>
        <v/>
      </c>
      <c r="R127" s="659" t="str">
        <f t="shared" ca="1" si="16"/>
        <v/>
      </c>
      <c r="S127" s="658" t="str">
        <f t="shared" ca="1" si="11"/>
        <v/>
      </c>
    </row>
    <row r="128" spans="1:19" s="651" customFormat="1" x14ac:dyDescent="0.25">
      <c r="A128" s="643" t="str">
        <f t="shared" si="27"/>
        <v>C</v>
      </c>
      <c r="B128" s="644">
        <f>B127+2</f>
        <v>42</v>
      </c>
      <c r="C128" s="645" t="str">
        <f t="shared" ca="1" si="9"/>
        <v>ZZZ_land_H1</v>
      </c>
      <c r="D128" s="646" t="str">
        <f ca="1">IF(C128="","",Voorblad!$X$95)</f>
        <v>H1</v>
      </c>
      <c r="E128" s="658">
        <f t="shared" si="14"/>
        <v>58</v>
      </c>
      <c r="F128" s="659" t="str">
        <f t="shared" ca="1" si="15"/>
        <v>H1</v>
      </c>
      <c r="G128" s="658" t="str">
        <f t="shared" ca="1" si="10"/>
        <v/>
      </c>
      <c r="H128" s="659" t="str">
        <f t="shared" ca="1" si="10"/>
        <v/>
      </c>
      <c r="I128" s="658" t="str">
        <f t="shared" ca="1" si="10"/>
        <v/>
      </c>
      <c r="J128" s="659" t="str">
        <f t="shared" ca="1" si="10"/>
        <v/>
      </c>
      <c r="K128" s="658" t="str">
        <f t="shared" ca="1" si="10"/>
        <v/>
      </c>
      <c r="L128" s="659" t="str">
        <f t="shared" ca="1" si="10"/>
        <v/>
      </c>
      <c r="M128" s="658" t="str">
        <f t="shared" ca="1" si="10"/>
        <v/>
      </c>
      <c r="N128" s="659" t="str">
        <f t="shared" ca="1" si="10"/>
        <v/>
      </c>
      <c r="O128" s="658" t="str">
        <f t="shared" ca="1" si="16"/>
        <v/>
      </c>
      <c r="P128" s="659" t="str">
        <f t="shared" ca="1" si="16"/>
        <v/>
      </c>
      <c r="Q128" s="658" t="str">
        <f t="shared" ca="1" si="16"/>
        <v/>
      </c>
      <c r="R128" s="659" t="str">
        <f t="shared" ca="1" si="16"/>
        <v/>
      </c>
      <c r="S128" s="658" t="str">
        <f t="shared" ca="1" si="11"/>
        <v/>
      </c>
    </row>
    <row r="129" spans="1:19" s="651" customFormat="1" x14ac:dyDescent="0.25">
      <c r="A129" s="643" t="str">
        <f>A128</f>
        <v>C</v>
      </c>
      <c r="B129" s="644">
        <f>B128+1</f>
        <v>43</v>
      </c>
      <c r="C129" s="645" t="str">
        <f t="shared" ca="1" si="9"/>
        <v>ZZZ_land_H2</v>
      </c>
      <c r="D129" s="646" t="str">
        <f ca="1">IF(C129="","",Voorblad!$X$96)</f>
        <v>H2</v>
      </c>
      <c r="E129" s="658">
        <f t="shared" si="14"/>
        <v>60</v>
      </c>
      <c r="F129" s="659" t="str">
        <f t="shared" ca="1" si="15"/>
        <v>H2</v>
      </c>
      <c r="G129" s="658" t="str">
        <f t="shared" ca="1" si="10"/>
        <v/>
      </c>
      <c r="H129" s="659" t="str">
        <f t="shared" ca="1" si="10"/>
        <v/>
      </c>
      <c r="I129" s="658" t="str">
        <f t="shared" ca="1" si="10"/>
        <v/>
      </c>
      <c r="J129" s="659" t="str">
        <f t="shared" ca="1" si="10"/>
        <v/>
      </c>
      <c r="K129" s="658" t="str">
        <f t="shared" ca="1" si="10"/>
        <v/>
      </c>
      <c r="L129" s="659" t="str">
        <f t="shared" ca="1" si="10"/>
        <v/>
      </c>
      <c r="M129" s="658" t="str">
        <f t="shared" ca="1" si="10"/>
        <v/>
      </c>
      <c r="N129" s="659" t="str">
        <f t="shared" ca="1" si="10"/>
        <v/>
      </c>
      <c r="O129" s="658" t="str">
        <f t="shared" ca="1" si="16"/>
        <v/>
      </c>
      <c r="P129" s="659" t="str">
        <f t="shared" ca="1" si="16"/>
        <v/>
      </c>
      <c r="Q129" s="658" t="str">
        <f t="shared" ca="1" si="16"/>
        <v/>
      </c>
      <c r="R129" s="659" t="str">
        <f t="shared" ca="1" si="16"/>
        <v/>
      </c>
      <c r="S129" s="658" t="str">
        <f t="shared" ca="1" si="11"/>
        <v/>
      </c>
    </row>
    <row r="130" spans="1:19" s="651" customFormat="1" x14ac:dyDescent="0.25">
      <c r="A130" s="643" t="str">
        <f t="shared" ref="A130:A131" si="29">A129</f>
        <v>C</v>
      </c>
      <c r="B130" s="644">
        <f t="shared" ref="B130:B131" si="30">B129+1</f>
        <v>44</v>
      </c>
      <c r="C130" s="645" t="str">
        <f t="shared" ca="1" si="9"/>
        <v>ZZZ_land_H3</v>
      </c>
      <c r="D130" s="646" t="str">
        <f ca="1">IF(C130="","",Voorblad!$X$97)</f>
        <v>H3</v>
      </c>
      <c r="E130" s="658">
        <f t="shared" si="14"/>
        <v>62</v>
      </c>
      <c r="F130" s="659" t="str">
        <f t="shared" ca="1" si="15"/>
        <v>H3</v>
      </c>
      <c r="G130" s="658" t="str">
        <f t="shared" ca="1" si="10"/>
        <v/>
      </c>
      <c r="H130" s="659" t="str">
        <f t="shared" ca="1" si="10"/>
        <v/>
      </c>
      <c r="I130" s="658" t="str">
        <f t="shared" ca="1" si="10"/>
        <v/>
      </c>
      <c r="J130" s="659" t="str">
        <f t="shared" ca="1" si="10"/>
        <v/>
      </c>
      <c r="K130" s="658" t="str">
        <f t="shared" ca="1" si="10"/>
        <v/>
      </c>
      <c r="L130" s="659" t="str">
        <f t="shared" ca="1" si="10"/>
        <v/>
      </c>
      <c r="M130" s="658" t="str">
        <f t="shared" ca="1" si="10"/>
        <v/>
      </c>
      <c r="N130" s="659" t="str">
        <f t="shared" ca="1" si="10"/>
        <v/>
      </c>
      <c r="O130" s="658" t="str">
        <f t="shared" ca="1" si="16"/>
        <v/>
      </c>
      <c r="P130" s="659" t="str">
        <f t="shared" ca="1" si="16"/>
        <v/>
      </c>
      <c r="Q130" s="658" t="str">
        <f t="shared" ca="1" si="16"/>
        <v/>
      </c>
      <c r="R130" s="659" t="str">
        <f t="shared" ca="1" si="16"/>
        <v/>
      </c>
      <c r="S130" s="658" t="str">
        <f t="shared" ca="1" si="11"/>
        <v/>
      </c>
    </row>
    <row r="131" spans="1:19" s="651" customFormat="1" x14ac:dyDescent="0.25">
      <c r="A131" s="647" t="str">
        <f t="shared" si="29"/>
        <v>C</v>
      </c>
      <c r="B131" s="648">
        <f t="shared" si="30"/>
        <v>45</v>
      </c>
      <c r="C131" s="649" t="str">
        <f t="shared" ca="1" si="9"/>
        <v>ZZZ_land_H4</v>
      </c>
      <c r="D131" s="650" t="str">
        <f ca="1">IF(C131="","",Voorblad!X$98)</f>
        <v>H4</v>
      </c>
      <c r="E131" s="660">
        <f t="shared" si="14"/>
        <v>64</v>
      </c>
      <c r="F131" s="661" t="str">
        <f t="shared" ca="1" si="15"/>
        <v>H4</v>
      </c>
      <c r="G131" s="660" t="str">
        <f t="shared" ca="1" si="10"/>
        <v/>
      </c>
      <c r="H131" s="661" t="str">
        <f t="shared" ca="1" si="10"/>
        <v/>
      </c>
      <c r="I131" s="660" t="str">
        <f t="shared" ca="1" si="10"/>
        <v/>
      </c>
      <c r="J131" s="661" t="str">
        <f t="shared" ca="1" si="10"/>
        <v/>
      </c>
      <c r="K131" s="660" t="str">
        <f t="shared" ca="1" si="10"/>
        <v/>
      </c>
      <c r="L131" s="661" t="str">
        <f t="shared" ca="1" si="10"/>
        <v/>
      </c>
      <c r="M131" s="660" t="str">
        <f t="shared" ca="1" si="10"/>
        <v/>
      </c>
      <c r="N131" s="661" t="str">
        <f t="shared" ca="1" si="10"/>
        <v/>
      </c>
      <c r="O131" s="660" t="str">
        <f t="shared" ca="1" si="16"/>
        <v/>
      </c>
      <c r="P131" s="661" t="str">
        <f t="shared" ca="1" si="16"/>
        <v/>
      </c>
      <c r="Q131" s="660" t="str">
        <f t="shared" ca="1" si="16"/>
        <v/>
      </c>
      <c r="R131" s="661" t="str">
        <f t="shared" ca="1" si="16"/>
        <v/>
      </c>
      <c r="S131" s="660" t="str">
        <f t="shared" ca="1" si="11"/>
        <v/>
      </c>
    </row>
    <row r="132" spans="1:19" s="651" customFormat="1" x14ac:dyDescent="0.25">
      <c r="A132" s="627" t="str">
        <f>CHAR(CODE(A100)+1)</f>
        <v>D</v>
      </c>
      <c r="B132" s="628">
        <v>7</v>
      </c>
      <c r="C132" s="629" t="str">
        <f t="shared" ca="1" si="9"/>
        <v>Germany</v>
      </c>
      <c r="D132" s="630" t="str">
        <f ca="1">IF(C132="","",Voorblad!$X$67)</f>
        <v>A1</v>
      </c>
    </row>
    <row r="133" spans="1:19" s="651" customFormat="1" x14ac:dyDescent="0.25">
      <c r="A133" s="631" t="str">
        <f>A132</f>
        <v>D</v>
      </c>
      <c r="B133" s="632">
        <f>B132+1</f>
        <v>8</v>
      </c>
      <c r="C133" s="633" t="str">
        <f t="shared" ca="1" si="9"/>
        <v>Scotland</v>
      </c>
      <c r="D133" s="634" t="str">
        <f ca="1">IF(C133="","",Voorblad!$X$68)</f>
        <v>A2</v>
      </c>
    </row>
    <row r="134" spans="1:19" s="651" customFormat="1" x14ac:dyDescent="0.25">
      <c r="A134" s="631" t="str">
        <f t="shared" ref="A134:A136" si="31">A133</f>
        <v>D</v>
      </c>
      <c r="B134" s="632">
        <f t="shared" ref="B134:B135" si="32">B133+1</f>
        <v>9</v>
      </c>
      <c r="C134" s="633" t="str">
        <f t="shared" ca="1" si="9"/>
        <v>Hungary</v>
      </c>
      <c r="D134" s="634" t="str">
        <f ca="1">IF(C134="","",Voorblad!$X$69)</f>
        <v>A3</v>
      </c>
    </row>
    <row r="135" spans="1:19" s="651" customFormat="1" x14ac:dyDescent="0.25">
      <c r="A135" s="631" t="str">
        <f t="shared" si="31"/>
        <v>D</v>
      </c>
      <c r="B135" s="632">
        <f t="shared" si="32"/>
        <v>10</v>
      </c>
      <c r="C135" s="633" t="str">
        <f t="shared" ca="1" si="9"/>
        <v>Switzerland</v>
      </c>
      <c r="D135" s="634" t="str">
        <f ca="1">IF(C135="","",Voorblad!$X$70)</f>
        <v>A4</v>
      </c>
    </row>
    <row r="136" spans="1:19" s="651" customFormat="1" x14ac:dyDescent="0.25">
      <c r="A136" s="631" t="str">
        <f t="shared" si="31"/>
        <v>D</v>
      </c>
      <c r="B136" s="632">
        <f>B135+2</f>
        <v>12</v>
      </c>
      <c r="C136" s="633" t="str">
        <f t="shared" ca="1" si="9"/>
        <v>Spain</v>
      </c>
      <c r="D136" s="634" t="str">
        <f ca="1">IF(C136="","",Voorblad!$X$71)</f>
        <v>B1</v>
      </c>
    </row>
    <row r="137" spans="1:19" s="651" customFormat="1" x14ac:dyDescent="0.25">
      <c r="A137" s="631" t="str">
        <f>A136</f>
        <v>D</v>
      </c>
      <c r="B137" s="632">
        <f>B136+1</f>
        <v>13</v>
      </c>
      <c r="C137" s="633" t="str">
        <f t="shared" ca="1" si="9"/>
        <v>Croatia</v>
      </c>
      <c r="D137" s="634" t="str">
        <f ca="1">IF(C137="","",Voorblad!$X$72)</f>
        <v>B2</v>
      </c>
    </row>
    <row r="138" spans="1:19" s="651" customFormat="1" x14ac:dyDescent="0.25">
      <c r="A138" s="631" t="str">
        <f t="shared" ref="A138:A140" si="33">A137</f>
        <v>D</v>
      </c>
      <c r="B138" s="632">
        <f t="shared" ref="B138:B139" si="34">B137+1</f>
        <v>14</v>
      </c>
      <c r="C138" s="633" t="str">
        <f t="shared" ca="1" si="9"/>
        <v>Italy</v>
      </c>
      <c r="D138" s="634" t="str">
        <f ca="1">IF(C138="","",Voorblad!$X$73)</f>
        <v>B3</v>
      </c>
    </row>
    <row r="139" spans="1:19" s="651" customFormat="1" x14ac:dyDescent="0.25">
      <c r="A139" s="631" t="str">
        <f t="shared" si="33"/>
        <v>D</v>
      </c>
      <c r="B139" s="632">
        <f t="shared" si="34"/>
        <v>15</v>
      </c>
      <c r="C139" s="633" t="str">
        <f t="shared" ca="1" si="9"/>
        <v>Albania</v>
      </c>
      <c r="D139" s="634" t="str">
        <f ca="1">IF(C139="","",Voorblad!$X$74)</f>
        <v>B4</v>
      </c>
    </row>
    <row r="140" spans="1:19" s="651" customFormat="1" x14ac:dyDescent="0.25">
      <c r="A140" s="631" t="str">
        <f t="shared" si="33"/>
        <v>D</v>
      </c>
      <c r="B140" s="632">
        <f>B139+2</f>
        <v>17</v>
      </c>
      <c r="C140" s="633" t="str">
        <f t="shared" ca="1" si="9"/>
        <v>Slovenia</v>
      </c>
      <c r="D140" s="634" t="str">
        <f ca="1">IF(C140="","",Voorblad!$X$75)</f>
        <v>C1</v>
      </c>
    </row>
    <row r="141" spans="1:19" s="651" customFormat="1" x14ac:dyDescent="0.25">
      <c r="A141" s="631" t="str">
        <f>A140</f>
        <v>D</v>
      </c>
      <c r="B141" s="632">
        <f>B140+1</f>
        <v>18</v>
      </c>
      <c r="C141" s="633" t="str">
        <f t="shared" ca="1" si="9"/>
        <v>Denmark</v>
      </c>
      <c r="D141" s="634" t="str">
        <f ca="1">IF(C141="","",Voorblad!$X$76)</f>
        <v>C2</v>
      </c>
    </row>
    <row r="142" spans="1:19" s="651" customFormat="1" x14ac:dyDescent="0.25">
      <c r="A142" s="631" t="str">
        <f t="shared" ref="A142:A144" si="35">A141</f>
        <v>D</v>
      </c>
      <c r="B142" s="632">
        <f t="shared" ref="B142:B143" si="36">B141+1</f>
        <v>19</v>
      </c>
      <c r="C142" s="633" t="str">
        <f t="shared" ca="1" si="9"/>
        <v>Serbia</v>
      </c>
      <c r="D142" s="634" t="str">
        <f ca="1">IF(C142="","",Voorblad!$X$77)</f>
        <v>C3</v>
      </c>
    </row>
    <row r="143" spans="1:19" s="651" customFormat="1" x14ac:dyDescent="0.25">
      <c r="A143" s="631" t="str">
        <f t="shared" si="35"/>
        <v>D</v>
      </c>
      <c r="B143" s="632">
        <f t="shared" si="36"/>
        <v>20</v>
      </c>
      <c r="C143" s="633" t="str">
        <f t="shared" ca="1" si="9"/>
        <v>England</v>
      </c>
      <c r="D143" s="634" t="str">
        <f ca="1">IF(C143="","",Voorblad!$X$78)</f>
        <v>C4</v>
      </c>
    </row>
    <row r="144" spans="1:19" s="651" customFormat="1" x14ac:dyDescent="0.25">
      <c r="A144" s="631" t="str">
        <f t="shared" si="35"/>
        <v>D</v>
      </c>
      <c r="B144" s="632">
        <f>B143+2</f>
        <v>22</v>
      </c>
      <c r="C144" s="633" t="str">
        <f t="shared" ca="1" si="9"/>
        <v>Poland</v>
      </c>
      <c r="D144" s="634" t="str">
        <f ca="1">IF(C144="","",Voorblad!$X$79)</f>
        <v>D1</v>
      </c>
    </row>
    <row r="145" spans="1:4" s="651" customFormat="1" x14ac:dyDescent="0.25">
      <c r="A145" s="631" t="str">
        <f>A144</f>
        <v>D</v>
      </c>
      <c r="B145" s="632">
        <f>B144+1</f>
        <v>23</v>
      </c>
      <c r="C145" s="633" t="str">
        <f t="shared" ca="1" si="9"/>
        <v>Netherlands</v>
      </c>
      <c r="D145" s="634" t="str">
        <f ca="1">IF(C145="","",Voorblad!$X$80)</f>
        <v>D2</v>
      </c>
    </row>
    <row r="146" spans="1:4" s="651" customFormat="1" x14ac:dyDescent="0.25">
      <c r="A146" s="631" t="str">
        <f t="shared" ref="A146:A148" si="37">A145</f>
        <v>D</v>
      </c>
      <c r="B146" s="632">
        <f t="shared" ref="B146:B147" si="38">B145+1</f>
        <v>24</v>
      </c>
      <c r="C146" s="633" t="str">
        <f t="shared" ca="1" si="9"/>
        <v>Austria</v>
      </c>
      <c r="D146" s="634" t="str">
        <f ca="1">IF(C146="","",Voorblad!$X$81)</f>
        <v>D3</v>
      </c>
    </row>
    <row r="147" spans="1:4" s="651" customFormat="1" x14ac:dyDescent="0.25">
      <c r="A147" s="631" t="str">
        <f t="shared" si="37"/>
        <v>D</v>
      </c>
      <c r="B147" s="632">
        <f t="shared" si="38"/>
        <v>25</v>
      </c>
      <c r="C147" s="633" t="str">
        <f t="shared" ca="1" si="9"/>
        <v>France</v>
      </c>
      <c r="D147" s="634" t="str">
        <f ca="1">IF(C147="","",Voorblad!$X$82)</f>
        <v>D4</v>
      </c>
    </row>
    <row r="148" spans="1:4" s="651" customFormat="1" x14ac:dyDescent="0.25">
      <c r="A148" s="631" t="str">
        <f t="shared" si="37"/>
        <v>D</v>
      </c>
      <c r="B148" s="632">
        <f>B147+2</f>
        <v>27</v>
      </c>
      <c r="C148" s="633" t="str">
        <f t="shared" ca="1" si="9"/>
        <v>Belgium</v>
      </c>
      <c r="D148" s="634" t="str">
        <f ca="1">IF(C148="","",Voorblad!$X$83)</f>
        <v>E1</v>
      </c>
    </row>
    <row r="149" spans="1:4" s="651" customFormat="1" x14ac:dyDescent="0.25">
      <c r="A149" s="631" t="str">
        <f>A148</f>
        <v>D</v>
      </c>
      <c r="B149" s="632">
        <f>B148+1</f>
        <v>28</v>
      </c>
      <c r="C149" s="633" t="str">
        <f t="shared" ca="1" si="9"/>
        <v>Slovakia</v>
      </c>
      <c r="D149" s="634" t="str">
        <f ca="1">IF(C149="","",Voorblad!$X$84)</f>
        <v>E2</v>
      </c>
    </row>
    <row r="150" spans="1:4" s="651" customFormat="1" x14ac:dyDescent="0.25">
      <c r="A150" s="631" t="str">
        <f t="shared" ref="A150:A152" si="39">A149</f>
        <v>D</v>
      </c>
      <c r="B150" s="632">
        <f t="shared" ref="B150:B151" si="40">B149+1</f>
        <v>29</v>
      </c>
      <c r="C150" s="633" t="str">
        <f t="shared" ca="1" si="9"/>
        <v>Romania</v>
      </c>
      <c r="D150" s="634" t="str">
        <f ca="1">IF(C150="","",Voorblad!$X$85)</f>
        <v>E3</v>
      </c>
    </row>
    <row r="151" spans="1:4" s="651" customFormat="1" x14ac:dyDescent="0.25">
      <c r="A151" s="631" t="str">
        <f t="shared" si="39"/>
        <v>D</v>
      </c>
      <c r="B151" s="632">
        <f t="shared" si="40"/>
        <v>30</v>
      </c>
      <c r="C151" s="633" t="str">
        <f t="shared" ca="1" si="9"/>
        <v>Ukraine</v>
      </c>
      <c r="D151" s="634" t="str">
        <f ca="1">IF(C151="","",Voorblad!$X$86)</f>
        <v>E4</v>
      </c>
    </row>
    <row r="152" spans="1:4" s="651" customFormat="1" x14ac:dyDescent="0.25">
      <c r="A152" s="631" t="str">
        <f t="shared" si="39"/>
        <v>D</v>
      </c>
      <c r="B152" s="632">
        <f>B151+2</f>
        <v>32</v>
      </c>
      <c r="C152" s="633" t="str">
        <f t="shared" ca="1" si="9"/>
        <v>Turkey</v>
      </c>
      <c r="D152" s="634" t="str">
        <f ca="1">IF(C152="","",Voorblad!$X$87)</f>
        <v>F1</v>
      </c>
    </row>
    <row r="153" spans="1:4" s="651" customFormat="1" x14ac:dyDescent="0.25">
      <c r="A153" s="631" t="str">
        <f>A152</f>
        <v>D</v>
      </c>
      <c r="B153" s="632">
        <f>B152+1</f>
        <v>33</v>
      </c>
      <c r="C153" s="633" t="str">
        <f t="shared" ca="1" si="9"/>
        <v>Georgia</v>
      </c>
      <c r="D153" s="634" t="str">
        <f ca="1">IF(C153="","",Voorblad!$X$88)</f>
        <v>F2</v>
      </c>
    </row>
    <row r="154" spans="1:4" s="651" customFormat="1" x14ac:dyDescent="0.25">
      <c r="A154" s="631" t="str">
        <f t="shared" ref="A154:A156" si="41">A153</f>
        <v>D</v>
      </c>
      <c r="B154" s="632">
        <f t="shared" ref="B154:B155" si="42">B153+1</f>
        <v>34</v>
      </c>
      <c r="C154" s="633" t="str">
        <f t="shared" ca="1" si="9"/>
        <v>Portugal</v>
      </c>
      <c r="D154" s="634" t="str">
        <f ca="1">IF(C154="","",Voorblad!$X$89)</f>
        <v>F3</v>
      </c>
    </row>
    <row r="155" spans="1:4" s="651" customFormat="1" x14ac:dyDescent="0.25">
      <c r="A155" s="631" t="str">
        <f t="shared" si="41"/>
        <v>D</v>
      </c>
      <c r="B155" s="632">
        <f t="shared" si="42"/>
        <v>35</v>
      </c>
      <c r="C155" s="633" t="str">
        <f t="shared" ca="1" si="9"/>
        <v>Czech Republic</v>
      </c>
      <c r="D155" s="634" t="str">
        <f ca="1">IF(C155="","",Voorblad!$X$90)</f>
        <v>F4</v>
      </c>
    </row>
    <row r="156" spans="1:4" s="651" customFormat="1" x14ac:dyDescent="0.25">
      <c r="A156" s="631" t="str">
        <f t="shared" si="41"/>
        <v>D</v>
      </c>
      <c r="B156" s="632">
        <f>B155+2</f>
        <v>37</v>
      </c>
      <c r="C156" s="633" t="str">
        <f t="shared" ca="1" si="9"/>
        <v>ZZZ_land_G1</v>
      </c>
      <c r="D156" s="634" t="str">
        <f ca="1">IF(C156="","",Voorblad!$X$91)</f>
        <v>G1</v>
      </c>
    </row>
    <row r="157" spans="1:4" s="651" customFormat="1" x14ac:dyDescent="0.25">
      <c r="A157" s="631" t="str">
        <f>A156</f>
        <v>D</v>
      </c>
      <c r="B157" s="632">
        <f>B156+1</f>
        <v>38</v>
      </c>
      <c r="C157" s="633" t="str">
        <f t="shared" ca="1" si="9"/>
        <v>ZZZ_land_G2</v>
      </c>
      <c r="D157" s="634" t="str">
        <f ca="1">IF(C157="","",Voorblad!$X$92)</f>
        <v>G2</v>
      </c>
    </row>
    <row r="158" spans="1:4" s="651" customFormat="1" x14ac:dyDescent="0.25">
      <c r="A158" s="631" t="str">
        <f t="shared" ref="A158:A160" si="43">A157</f>
        <v>D</v>
      </c>
      <c r="B158" s="632">
        <f t="shared" ref="B158:B159" si="44">B157+1</f>
        <v>39</v>
      </c>
      <c r="C158" s="633" t="str">
        <f t="shared" ca="1" si="9"/>
        <v>ZZZ_land_G3</v>
      </c>
      <c r="D158" s="634" t="str">
        <f ca="1">IF(C158="","",Voorblad!$X$93)</f>
        <v>G3</v>
      </c>
    </row>
    <row r="159" spans="1:4" s="651" customFormat="1" x14ac:dyDescent="0.25">
      <c r="A159" s="631" t="str">
        <f t="shared" si="43"/>
        <v>D</v>
      </c>
      <c r="B159" s="632">
        <f t="shared" si="44"/>
        <v>40</v>
      </c>
      <c r="C159" s="633" t="str">
        <f t="shared" ca="1" si="9"/>
        <v>ZZZ_land_G4</v>
      </c>
      <c r="D159" s="634" t="str">
        <f ca="1">IF(C159="","",Voorblad!$X$94)</f>
        <v>G4</v>
      </c>
    </row>
    <row r="160" spans="1:4" s="651" customFormat="1" x14ac:dyDescent="0.25">
      <c r="A160" s="631" t="str">
        <f t="shared" si="43"/>
        <v>D</v>
      </c>
      <c r="B160" s="632">
        <f>B159+2</f>
        <v>42</v>
      </c>
      <c r="C160" s="633" t="str">
        <f t="shared" ca="1" si="9"/>
        <v>ZZZ_land_H1</v>
      </c>
      <c r="D160" s="634" t="str">
        <f ca="1">IF(C160="","",Voorblad!$X$95)</f>
        <v>H1</v>
      </c>
    </row>
    <row r="161" spans="1:4" s="651" customFormat="1" x14ac:dyDescent="0.25">
      <c r="A161" s="631" t="str">
        <f>A160</f>
        <v>D</v>
      </c>
      <c r="B161" s="632">
        <f>B160+1</f>
        <v>43</v>
      </c>
      <c r="C161" s="633" t="str">
        <f t="shared" ca="1" si="9"/>
        <v>ZZZ_land_H2</v>
      </c>
      <c r="D161" s="634" t="str">
        <f ca="1">IF(C161="","",Voorblad!$X$96)</f>
        <v>H2</v>
      </c>
    </row>
    <row r="162" spans="1:4" s="651" customFormat="1" x14ac:dyDescent="0.25">
      <c r="A162" s="631" t="str">
        <f t="shared" ref="A162:A163" si="45">A161</f>
        <v>D</v>
      </c>
      <c r="B162" s="632">
        <f t="shared" ref="B162:B163" si="46">B161+1</f>
        <v>44</v>
      </c>
      <c r="C162" s="633" t="str">
        <f t="shared" ca="1" si="9"/>
        <v>ZZZ_land_H3</v>
      </c>
      <c r="D162" s="634" t="str">
        <f ca="1">IF(C162="","",Voorblad!$X$97)</f>
        <v>H3</v>
      </c>
    </row>
    <row r="163" spans="1:4" s="651" customFormat="1" x14ac:dyDescent="0.25">
      <c r="A163" s="635" t="str">
        <f t="shared" si="45"/>
        <v>D</v>
      </c>
      <c r="B163" s="636">
        <f t="shared" si="46"/>
        <v>45</v>
      </c>
      <c r="C163" s="637" t="str">
        <f t="shared" ca="1" si="9"/>
        <v>ZZZ_land_H4</v>
      </c>
      <c r="D163" s="638" t="str">
        <f ca="1">IF(C163="","",Voorblad!X$98)</f>
        <v>H4</v>
      </c>
    </row>
    <row r="164" spans="1:4" s="651" customFormat="1" x14ac:dyDescent="0.25">
      <c r="A164" s="639" t="str">
        <f>CHAR(CODE(A132)+1)</f>
        <v>E</v>
      </c>
      <c r="B164" s="640">
        <v>7</v>
      </c>
      <c r="C164" s="641" t="str">
        <f t="shared" ca="1" si="9"/>
        <v>Deutschland</v>
      </c>
      <c r="D164" s="642" t="str">
        <f ca="1">IF(C164="","",Voorblad!$X$67)</f>
        <v>A1</v>
      </c>
    </row>
    <row r="165" spans="1:4" s="651" customFormat="1" x14ac:dyDescent="0.25">
      <c r="A165" s="643" t="str">
        <f>A164</f>
        <v>E</v>
      </c>
      <c r="B165" s="644">
        <f>B164+1</f>
        <v>8</v>
      </c>
      <c r="C165" s="645" t="str">
        <f t="shared" ref="C165:C228" ca="1" si="47">IF(ISBLANK(INDIRECT(A165&amp;B165)),"",INDIRECT(A165&amp;B165))</f>
        <v>Schotland</v>
      </c>
      <c r="D165" s="646" t="str">
        <f ca="1">IF(C165="","",Voorblad!$X$68)</f>
        <v>A2</v>
      </c>
    </row>
    <row r="166" spans="1:4" s="651" customFormat="1" x14ac:dyDescent="0.25">
      <c r="A166" s="643" t="str">
        <f t="shared" ref="A166:A168" si="48">A165</f>
        <v>E</v>
      </c>
      <c r="B166" s="644">
        <f t="shared" ref="B166:B167" si="49">B165+1</f>
        <v>9</v>
      </c>
      <c r="C166" s="645" t="str">
        <f t="shared" ca="1" si="47"/>
        <v>Ungarn</v>
      </c>
      <c r="D166" s="646" t="str">
        <f ca="1">IF(C166="","",Voorblad!$X$69)</f>
        <v>A3</v>
      </c>
    </row>
    <row r="167" spans="1:4" s="651" customFormat="1" x14ac:dyDescent="0.25">
      <c r="A167" s="643" t="str">
        <f t="shared" si="48"/>
        <v>E</v>
      </c>
      <c r="B167" s="644">
        <f t="shared" si="49"/>
        <v>10</v>
      </c>
      <c r="C167" s="645" t="str">
        <f t="shared" ca="1" si="47"/>
        <v>Schweiz</v>
      </c>
      <c r="D167" s="646" t="str">
        <f ca="1">IF(C167="","",Voorblad!$X$70)</f>
        <v>A4</v>
      </c>
    </row>
    <row r="168" spans="1:4" s="651" customFormat="1" x14ac:dyDescent="0.25">
      <c r="A168" s="643" t="str">
        <f t="shared" si="48"/>
        <v>E</v>
      </c>
      <c r="B168" s="644">
        <f>B167+2</f>
        <v>12</v>
      </c>
      <c r="C168" s="645" t="str">
        <f t="shared" ca="1" si="47"/>
        <v>Spanien</v>
      </c>
      <c r="D168" s="646" t="str">
        <f ca="1">IF(C168="","",Voorblad!$X$71)</f>
        <v>B1</v>
      </c>
    </row>
    <row r="169" spans="1:4" s="651" customFormat="1" x14ac:dyDescent="0.25">
      <c r="A169" s="643" t="str">
        <f>A168</f>
        <v>E</v>
      </c>
      <c r="B169" s="644">
        <f>B168+1</f>
        <v>13</v>
      </c>
      <c r="C169" s="645" t="str">
        <f t="shared" ca="1" si="47"/>
        <v>Kroatien</v>
      </c>
      <c r="D169" s="646" t="str">
        <f ca="1">IF(C169="","",Voorblad!$X$72)</f>
        <v>B2</v>
      </c>
    </row>
    <row r="170" spans="1:4" s="651" customFormat="1" x14ac:dyDescent="0.25">
      <c r="A170" s="643" t="str">
        <f t="shared" ref="A170:A172" si="50">A169</f>
        <v>E</v>
      </c>
      <c r="B170" s="644">
        <f t="shared" ref="B170:B171" si="51">B169+1</f>
        <v>14</v>
      </c>
      <c r="C170" s="645" t="str">
        <f t="shared" ca="1" si="47"/>
        <v>Italien</v>
      </c>
      <c r="D170" s="646" t="str">
        <f ca="1">IF(C170="","",Voorblad!$X$73)</f>
        <v>B3</v>
      </c>
    </row>
    <row r="171" spans="1:4" s="651" customFormat="1" x14ac:dyDescent="0.25">
      <c r="A171" s="643" t="str">
        <f t="shared" si="50"/>
        <v>E</v>
      </c>
      <c r="B171" s="644">
        <f t="shared" si="51"/>
        <v>15</v>
      </c>
      <c r="C171" s="645" t="str">
        <f t="shared" ca="1" si="47"/>
        <v>Albanien</v>
      </c>
      <c r="D171" s="646" t="str">
        <f ca="1">IF(C171="","",Voorblad!$X$74)</f>
        <v>B4</v>
      </c>
    </row>
    <row r="172" spans="1:4" s="651" customFormat="1" x14ac:dyDescent="0.25">
      <c r="A172" s="643" t="str">
        <f t="shared" si="50"/>
        <v>E</v>
      </c>
      <c r="B172" s="644">
        <f>B171+2</f>
        <v>17</v>
      </c>
      <c r="C172" s="645" t="str">
        <f t="shared" ca="1" si="47"/>
        <v>Slowenien</v>
      </c>
      <c r="D172" s="646" t="str">
        <f ca="1">IF(C172="","",Voorblad!$X$75)</f>
        <v>C1</v>
      </c>
    </row>
    <row r="173" spans="1:4" s="651" customFormat="1" x14ac:dyDescent="0.25">
      <c r="A173" s="643" t="str">
        <f>A172</f>
        <v>E</v>
      </c>
      <c r="B173" s="644">
        <f>B172+1</f>
        <v>18</v>
      </c>
      <c r="C173" s="645" t="str">
        <f t="shared" ca="1" si="47"/>
        <v>Dänemark</v>
      </c>
      <c r="D173" s="646" t="str">
        <f ca="1">IF(C173="","",Voorblad!$X$76)</f>
        <v>C2</v>
      </c>
    </row>
    <row r="174" spans="1:4" s="651" customFormat="1" x14ac:dyDescent="0.25">
      <c r="A174" s="643" t="str">
        <f t="shared" ref="A174:A176" si="52">A173</f>
        <v>E</v>
      </c>
      <c r="B174" s="644">
        <f t="shared" ref="B174:B175" si="53">B173+1</f>
        <v>19</v>
      </c>
      <c r="C174" s="645" t="str">
        <f t="shared" ca="1" si="47"/>
        <v>Serbien</v>
      </c>
      <c r="D174" s="646" t="str">
        <f ca="1">IF(C174="","",Voorblad!$X$77)</f>
        <v>C3</v>
      </c>
    </row>
    <row r="175" spans="1:4" s="651" customFormat="1" x14ac:dyDescent="0.25">
      <c r="A175" s="643" t="str">
        <f t="shared" si="52"/>
        <v>E</v>
      </c>
      <c r="B175" s="644">
        <f t="shared" si="53"/>
        <v>20</v>
      </c>
      <c r="C175" s="645" t="str">
        <f t="shared" ca="1" si="47"/>
        <v>England</v>
      </c>
      <c r="D175" s="646" t="str">
        <f ca="1">IF(C175="","",Voorblad!$X$78)</f>
        <v>C4</v>
      </c>
    </row>
    <row r="176" spans="1:4" s="651" customFormat="1" x14ac:dyDescent="0.25">
      <c r="A176" s="643" t="str">
        <f t="shared" si="52"/>
        <v>E</v>
      </c>
      <c r="B176" s="644">
        <f>B175+2</f>
        <v>22</v>
      </c>
      <c r="C176" s="645" t="str">
        <f t="shared" ca="1" si="47"/>
        <v>Polen</v>
      </c>
      <c r="D176" s="646" t="str">
        <f ca="1">IF(C176="","",Voorblad!$X$79)</f>
        <v>D1</v>
      </c>
    </row>
    <row r="177" spans="1:4" s="651" customFormat="1" x14ac:dyDescent="0.25">
      <c r="A177" s="643" t="str">
        <f>A176</f>
        <v>E</v>
      </c>
      <c r="B177" s="644">
        <f>B176+1</f>
        <v>23</v>
      </c>
      <c r="C177" s="645" t="str">
        <f t="shared" ca="1" si="47"/>
        <v>Niederlande</v>
      </c>
      <c r="D177" s="646" t="str">
        <f ca="1">IF(C177="","",Voorblad!$X$80)</f>
        <v>D2</v>
      </c>
    </row>
    <row r="178" spans="1:4" s="651" customFormat="1" x14ac:dyDescent="0.25">
      <c r="A178" s="643" t="str">
        <f t="shared" ref="A178:A180" si="54">A177</f>
        <v>E</v>
      </c>
      <c r="B178" s="644">
        <f t="shared" ref="B178:B179" si="55">B177+1</f>
        <v>24</v>
      </c>
      <c r="C178" s="645" t="str">
        <f t="shared" ca="1" si="47"/>
        <v>Österreich</v>
      </c>
      <c r="D178" s="646" t="str">
        <f ca="1">IF(C178="","",Voorblad!$X$81)</f>
        <v>D3</v>
      </c>
    </row>
    <row r="179" spans="1:4" s="651" customFormat="1" x14ac:dyDescent="0.25">
      <c r="A179" s="643" t="str">
        <f t="shared" si="54"/>
        <v>E</v>
      </c>
      <c r="B179" s="644">
        <f t="shared" si="55"/>
        <v>25</v>
      </c>
      <c r="C179" s="645" t="str">
        <f t="shared" ca="1" si="47"/>
        <v>Frankreich</v>
      </c>
      <c r="D179" s="646" t="str">
        <f ca="1">IF(C179="","",Voorblad!$X$82)</f>
        <v>D4</v>
      </c>
    </row>
    <row r="180" spans="1:4" s="651" customFormat="1" x14ac:dyDescent="0.25">
      <c r="A180" s="643" t="str">
        <f t="shared" si="54"/>
        <v>E</v>
      </c>
      <c r="B180" s="644">
        <f>B179+2</f>
        <v>27</v>
      </c>
      <c r="C180" s="645" t="str">
        <f t="shared" ca="1" si="47"/>
        <v>Belgien</v>
      </c>
      <c r="D180" s="646" t="str">
        <f ca="1">IF(C180="","",Voorblad!$X$83)</f>
        <v>E1</v>
      </c>
    </row>
    <row r="181" spans="1:4" s="651" customFormat="1" x14ac:dyDescent="0.25">
      <c r="A181" s="643" t="str">
        <f>A180</f>
        <v>E</v>
      </c>
      <c r="B181" s="644">
        <f>B180+1</f>
        <v>28</v>
      </c>
      <c r="C181" s="645" t="str">
        <f t="shared" ca="1" si="47"/>
        <v>Slowakei</v>
      </c>
      <c r="D181" s="646" t="str">
        <f ca="1">IF(C181="","",Voorblad!$X$84)</f>
        <v>E2</v>
      </c>
    </row>
    <row r="182" spans="1:4" s="651" customFormat="1" x14ac:dyDescent="0.25">
      <c r="A182" s="643" t="str">
        <f t="shared" ref="A182:A184" si="56">A181</f>
        <v>E</v>
      </c>
      <c r="B182" s="644">
        <f t="shared" ref="B182:B183" si="57">B181+1</f>
        <v>29</v>
      </c>
      <c r="C182" s="645" t="str">
        <f t="shared" ca="1" si="47"/>
        <v>Rumänien</v>
      </c>
      <c r="D182" s="646" t="str">
        <f ca="1">IF(C182="","",Voorblad!$X$85)</f>
        <v>E3</v>
      </c>
    </row>
    <row r="183" spans="1:4" s="651" customFormat="1" x14ac:dyDescent="0.25">
      <c r="A183" s="643" t="str">
        <f t="shared" si="56"/>
        <v>E</v>
      </c>
      <c r="B183" s="644">
        <f t="shared" si="57"/>
        <v>30</v>
      </c>
      <c r="C183" s="645" t="str">
        <f t="shared" ca="1" si="47"/>
        <v>Ukraine</v>
      </c>
      <c r="D183" s="646" t="str">
        <f ca="1">IF(C183="","",Voorblad!$X$86)</f>
        <v>E4</v>
      </c>
    </row>
    <row r="184" spans="1:4" s="651" customFormat="1" x14ac:dyDescent="0.25">
      <c r="A184" s="643" t="str">
        <f t="shared" si="56"/>
        <v>E</v>
      </c>
      <c r="B184" s="644">
        <f>B183+2</f>
        <v>32</v>
      </c>
      <c r="C184" s="645" t="str">
        <f t="shared" ca="1" si="47"/>
        <v>Türkei</v>
      </c>
      <c r="D184" s="646" t="str">
        <f ca="1">IF(C184="","",Voorblad!$X$87)</f>
        <v>F1</v>
      </c>
    </row>
    <row r="185" spans="1:4" s="651" customFormat="1" x14ac:dyDescent="0.25">
      <c r="A185" s="643" t="str">
        <f>A184</f>
        <v>E</v>
      </c>
      <c r="B185" s="644">
        <f>B184+1</f>
        <v>33</v>
      </c>
      <c r="C185" s="645" t="str">
        <f t="shared" ca="1" si="47"/>
        <v>Georgien</v>
      </c>
      <c r="D185" s="646" t="str">
        <f ca="1">IF(C185="","",Voorblad!$X$88)</f>
        <v>F2</v>
      </c>
    </row>
    <row r="186" spans="1:4" s="651" customFormat="1" x14ac:dyDescent="0.25">
      <c r="A186" s="643" t="str">
        <f t="shared" ref="A186:A188" si="58">A185</f>
        <v>E</v>
      </c>
      <c r="B186" s="644">
        <f t="shared" ref="B186:B187" si="59">B185+1</f>
        <v>34</v>
      </c>
      <c r="C186" s="645" t="str">
        <f t="shared" ca="1" si="47"/>
        <v>Portugal</v>
      </c>
      <c r="D186" s="646" t="str">
        <f ca="1">IF(C186="","",Voorblad!$X$89)</f>
        <v>F3</v>
      </c>
    </row>
    <row r="187" spans="1:4" s="651" customFormat="1" x14ac:dyDescent="0.25">
      <c r="A187" s="643" t="str">
        <f t="shared" si="58"/>
        <v>E</v>
      </c>
      <c r="B187" s="644">
        <f t="shared" si="59"/>
        <v>35</v>
      </c>
      <c r="C187" s="645" t="str">
        <f t="shared" ca="1" si="47"/>
        <v>Tschechische Republik</v>
      </c>
      <c r="D187" s="646" t="str">
        <f ca="1">IF(C187="","",Voorblad!$X$90)</f>
        <v>F4</v>
      </c>
    </row>
    <row r="188" spans="1:4" s="651" customFormat="1" x14ac:dyDescent="0.25">
      <c r="A188" s="643" t="str">
        <f t="shared" si="58"/>
        <v>E</v>
      </c>
      <c r="B188" s="644">
        <f>B187+2</f>
        <v>37</v>
      </c>
      <c r="C188" s="645" t="str">
        <f t="shared" ca="1" si="47"/>
        <v>ZZZ_land_G1</v>
      </c>
      <c r="D188" s="646" t="str">
        <f ca="1">IF(C188="","",Voorblad!$X$91)</f>
        <v>G1</v>
      </c>
    </row>
    <row r="189" spans="1:4" s="651" customFormat="1" x14ac:dyDescent="0.25">
      <c r="A189" s="643" t="str">
        <f>A188</f>
        <v>E</v>
      </c>
      <c r="B189" s="644">
        <f>B188+1</f>
        <v>38</v>
      </c>
      <c r="C189" s="645" t="str">
        <f t="shared" ca="1" si="47"/>
        <v>ZZZ_land_G2</v>
      </c>
      <c r="D189" s="646" t="str">
        <f ca="1">IF(C189="","",Voorblad!$X$92)</f>
        <v>G2</v>
      </c>
    </row>
    <row r="190" spans="1:4" s="651" customFormat="1" x14ac:dyDescent="0.25">
      <c r="A190" s="643" t="str">
        <f t="shared" ref="A190:A192" si="60">A189</f>
        <v>E</v>
      </c>
      <c r="B190" s="644">
        <f t="shared" ref="B190:B191" si="61">B189+1</f>
        <v>39</v>
      </c>
      <c r="C190" s="645" t="str">
        <f t="shared" ca="1" si="47"/>
        <v>ZZZ_land_G3</v>
      </c>
      <c r="D190" s="646" t="str">
        <f ca="1">IF(C190="","",Voorblad!$X$93)</f>
        <v>G3</v>
      </c>
    </row>
    <row r="191" spans="1:4" s="651" customFormat="1" x14ac:dyDescent="0.25">
      <c r="A191" s="643" t="str">
        <f t="shared" si="60"/>
        <v>E</v>
      </c>
      <c r="B191" s="644">
        <f t="shared" si="61"/>
        <v>40</v>
      </c>
      <c r="C191" s="645" t="str">
        <f t="shared" ca="1" si="47"/>
        <v>ZZZ_land_G4</v>
      </c>
      <c r="D191" s="646" t="str">
        <f ca="1">IF(C191="","",Voorblad!$X$94)</f>
        <v>G4</v>
      </c>
    </row>
    <row r="192" spans="1:4" s="651" customFormat="1" x14ac:dyDescent="0.25">
      <c r="A192" s="643" t="str">
        <f t="shared" si="60"/>
        <v>E</v>
      </c>
      <c r="B192" s="644">
        <f>B191+2</f>
        <v>42</v>
      </c>
      <c r="C192" s="645" t="str">
        <f t="shared" ca="1" si="47"/>
        <v>ZZZ_land_H1</v>
      </c>
      <c r="D192" s="646" t="str">
        <f ca="1">IF(C192="","",Voorblad!$X$95)</f>
        <v>H1</v>
      </c>
    </row>
    <row r="193" spans="1:4" s="651" customFormat="1" x14ac:dyDescent="0.25">
      <c r="A193" s="643" t="str">
        <f>A192</f>
        <v>E</v>
      </c>
      <c r="B193" s="644">
        <f>B192+1</f>
        <v>43</v>
      </c>
      <c r="C193" s="645" t="str">
        <f t="shared" ca="1" si="47"/>
        <v>ZZZ_land_H2</v>
      </c>
      <c r="D193" s="646" t="str">
        <f ca="1">IF(C193="","",Voorblad!$X$96)</f>
        <v>H2</v>
      </c>
    </row>
    <row r="194" spans="1:4" s="651" customFormat="1" x14ac:dyDescent="0.25">
      <c r="A194" s="643" t="str">
        <f t="shared" ref="A194:A195" si="62">A193</f>
        <v>E</v>
      </c>
      <c r="B194" s="644">
        <f t="shared" ref="B194:B195" si="63">B193+1</f>
        <v>44</v>
      </c>
      <c r="C194" s="645" t="str">
        <f t="shared" ca="1" si="47"/>
        <v>ZZZ_land_H3</v>
      </c>
      <c r="D194" s="646" t="str">
        <f ca="1">IF(C194="","",Voorblad!$X$97)</f>
        <v>H3</v>
      </c>
    </row>
    <row r="195" spans="1:4" s="651" customFormat="1" x14ac:dyDescent="0.25">
      <c r="A195" s="647" t="str">
        <f t="shared" si="62"/>
        <v>E</v>
      </c>
      <c r="B195" s="648">
        <f t="shared" si="63"/>
        <v>45</v>
      </c>
      <c r="C195" s="649" t="str">
        <f t="shared" ca="1" si="47"/>
        <v>ZZZ_land_H4</v>
      </c>
      <c r="D195" s="650" t="str">
        <f ca="1">IF(C195="","",Voorblad!X$98)</f>
        <v>H4</v>
      </c>
    </row>
    <row r="196" spans="1:4" s="651" customFormat="1" x14ac:dyDescent="0.25">
      <c r="A196" s="627" t="str">
        <f>CHAR(CODE(A164)+1)</f>
        <v>F</v>
      </c>
      <c r="B196" s="628">
        <v>7</v>
      </c>
      <c r="C196" s="629" t="str">
        <f t="shared" ca="1" si="47"/>
        <v>Tyskland</v>
      </c>
      <c r="D196" s="630" t="str">
        <f ca="1">IF(C196="","",Voorblad!$X$67)</f>
        <v>A1</v>
      </c>
    </row>
    <row r="197" spans="1:4" s="651" customFormat="1" x14ac:dyDescent="0.25">
      <c r="A197" s="631" t="str">
        <f>A196</f>
        <v>F</v>
      </c>
      <c r="B197" s="632">
        <f>B196+1</f>
        <v>8</v>
      </c>
      <c r="C197" s="633" t="str">
        <f t="shared" ca="1" si="47"/>
        <v>Skottland</v>
      </c>
      <c r="D197" s="634" t="str">
        <f ca="1">IF(C197="","",Voorblad!$X$68)</f>
        <v>A2</v>
      </c>
    </row>
    <row r="198" spans="1:4" s="651" customFormat="1" x14ac:dyDescent="0.25">
      <c r="A198" s="631" t="str">
        <f t="shared" ref="A198:A200" si="64">A197</f>
        <v>F</v>
      </c>
      <c r="B198" s="632">
        <f t="shared" ref="B198:B199" si="65">B197+1</f>
        <v>9</v>
      </c>
      <c r="C198" s="633" t="str">
        <f t="shared" ca="1" si="47"/>
        <v>Ungern</v>
      </c>
      <c r="D198" s="634" t="str">
        <f ca="1">IF(C198="","",Voorblad!$X$69)</f>
        <v>A3</v>
      </c>
    </row>
    <row r="199" spans="1:4" s="651" customFormat="1" x14ac:dyDescent="0.25">
      <c r="A199" s="631" t="str">
        <f t="shared" si="64"/>
        <v>F</v>
      </c>
      <c r="B199" s="632">
        <f t="shared" si="65"/>
        <v>10</v>
      </c>
      <c r="C199" s="633" t="str">
        <f t="shared" ca="1" si="47"/>
        <v>Schweiz</v>
      </c>
      <c r="D199" s="634" t="str">
        <f ca="1">IF(C199="","",Voorblad!$X$70)</f>
        <v>A4</v>
      </c>
    </row>
    <row r="200" spans="1:4" s="651" customFormat="1" x14ac:dyDescent="0.25">
      <c r="A200" s="631" t="str">
        <f t="shared" si="64"/>
        <v>F</v>
      </c>
      <c r="B200" s="632">
        <f>B199+2</f>
        <v>12</v>
      </c>
      <c r="C200" s="633" t="str">
        <f t="shared" ca="1" si="47"/>
        <v>Spanien</v>
      </c>
      <c r="D200" s="634" t="str">
        <f ca="1">IF(C200="","",Voorblad!$X$71)</f>
        <v>B1</v>
      </c>
    </row>
    <row r="201" spans="1:4" s="651" customFormat="1" x14ac:dyDescent="0.25">
      <c r="A201" s="631" t="str">
        <f>A200</f>
        <v>F</v>
      </c>
      <c r="B201" s="632">
        <f>B200+1</f>
        <v>13</v>
      </c>
      <c r="C201" s="633" t="str">
        <f t="shared" ca="1" si="47"/>
        <v>Kroatien</v>
      </c>
      <c r="D201" s="634" t="str">
        <f ca="1">IF(C201="","",Voorblad!$X$72)</f>
        <v>B2</v>
      </c>
    </row>
    <row r="202" spans="1:4" s="651" customFormat="1" x14ac:dyDescent="0.25">
      <c r="A202" s="631" t="str">
        <f t="shared" ref="A202:A204" si="66">A201</f>
        <v>F</v>
      </c>
      <c r="B202" s="632">
        <f t="shared" ref="B202:B203" si="67">B201+1</f>
        <v>14</v>
      </c>
      <c r="C202" s="633" t="str">
        <f t="shared" ca="1" si="47"/>
        <v>Italien</v>
      </c>
      <c r="D202" s="634" t="str">
        <f ca="1">IF(C202="","",Voorblad!$X$73)</f>
        <v>B3</v>
      </c>
    </row>
    <row r="203" spans="1:4" s="651" customFormat="1" x14ac:dyDescent="0.25">
      <c r="A203" s="631" t="str">
        <f t="shared" si="66"/>
        <v>F</v>
      </c>
      <c r="B203" s="632">
        <f t="shared" si="67"/>
        <v>15</v>
      </c>
      <c r="C203" s="633" t="str">
        <f t="shared" ca="1" si="47"/>
        <v>Albanien</v>
      </c>
      <c r="D203" s="634" t="str">
        <f ca="1">IF(C203="","",Voorblad!$X$74)</f>
        <v>B4</v>
      </c>
    </row>
    <row r="204" spans="1:4" s="651" customFormat="1" x14ac:dyDescent="0.25">
      <c r="A204" s="631" t="str">
        <f t="shared" si="66"/>
        <v>F</v>
      </c>
      <c r="B204" s="632">
        <f>B203+2</f>
        <v>17</v>
      </c>
      <c r="C204" s="633" t="str">
        <f t="shared" ca="1" si="47"/>
        <v>Slovenien</v>
      </c>
      <c r="D204" s="634" t="str">
        <f ca="1">IF(C204="","",Voorblad!$X$75)</f>
        <v>C1</v>
      </c>
    </row>
    <row r="205" spans="1:4" s="651" customFormat="1" x14ac:dyDescent="0.25">
      <c r="A205" s="631" t="str">
        <f>A204</f>
        <v>F</v>
      </c>
      <c r="B205" s="632">
        <f>B204+1</f>
        <v>18</v>
      </c>
      <c r="C205" s="633" t="str">
        <f t="shared" ca="1" si="47"/>
        <v>Danmark</v>
      </c>
      <c r="D205" s="634" t="str">
        <f ca="1">IF(C205="","",Voorblad!$X$76)</f>
        <v>C2</v>
      </c>
    </row>
    <row r="206" spans="1:4" s="651" customFormat="1" x14ac:dyDescent="0.25">
      <c r="A206" s="631" t="str">
        <f t="shared" ref="A206:A208" si="68">A205</f>
        <v>F</v>
      </c>
      <c r="B206" s="632">
        <f t="shared" ref="B206:B207" si="69">B205+1</f>
        <v>19</v>
      </c>
      <c r="C206" s="633" t="str">
        <f t="shared" ca="1" si="47"/>
        <v>Serbien</v>
      </c>
      <c r="D206" s="634" t="str">
        <f ca="1">IF(C206="","",Voorblad!$X$77)</f>
        <v>C3</v>
      </c>
    </row>
    <row r="207" spans="1:4" s="651" customFormat="1" x14ac:dyDescent="0.25">
      <c r="A207" s="631" t="str">
        <f t="shared" si="68"/>
        <v>F</v>
      </c>
      <c r="B207" s="632">
        <f t="shared" si="69"/>
        <v>20</v>
      </c>
      <c r="C207" s="633" t="str">
        <f t="shared" ca="1" si="47"/>
        <v>England</v>
      </c>
      <c r="D207" s="634" t="str">
        <f ca="1">IF(C207="","",Voorblad!$X$78)</f>
        <v>C4</v>
      </c>
    </row>
    <row r="208" spans="1:4" s="651" customFormat="1" x14ac:dyDescent="0.25">
      <c r="A208" s="631" t="str">
        <f t="shared" si="68"/>
        <v>F</v>
      </c>
      <c r="B208" s="632">
        <f>B207+2</f>
        <v>22</v>
      </c>
      <c r="C208" s="633" t="str">
        <f t="shared" ca="1" si="47"/>
        <v>Polen</v>
      </c>
      <c r="D208" s="634" t="str">
        <f ca="1">IF(C208="","",Voorblad!$X$79)</f>
        <v>D1</v>
      </c>
    </row>
    <row r="209" spans="1:4" s="651" customFormat="1" x14ac:dyDescent="0.25">
      <c r="A209" s="631" t="str">
        <f>A208</f>
        <v>F</v>
      </c>
      <c r="B209" s="632">
        <f>B208+1</f>
        <v>23</v>
      </c>
      <c r="C209" s="633" t="str">
        <f t="shared" ca="1" si="47"/>
        <v>Nederländerna</v>
      </c>
      <c r="D209" s="634" t="str">
        <f ca="1">IF(C209="","",Voorblad!$X$80)</f>
        <v>D2</v>
      </c>
    </row>
    <row r="210" spans="1:4" s="651" customFormat="1" x14ac:dyDescent="0.25">
      <c r="A210" s="631" t="str">
        <f t="shared" ref="A210:A212" si="70">A209</f>
        <v>F</v>
      </c>
      <c r="B210" s="632">
        <f t="shared" ref="B210:B211" si="71">B209+1</f>
        <v>24</v>
      </c>
      <c r="C210" s="633" t="str">
        <f t="shared" ca="1" si="47"/>
        <v>Österrike</v>
      </c>
      <c r="D210" s="634" t="str">
        <f ca="1">IF(C210="","",Voorblad!$X$81)</f>
        <v>D3</v>
      </c>
    </row>
    <row r="211" spans="1:4" s="651" customFormat="1" x14ac:dyDescent="0.25">
      <c r="A211" s="631" t="str">
        <f t="shared" si="70"/>
        <v>F</v>
      </c>
      <c r="B211" s="632">
        <f t="shared" si="71"/>
        <v>25</v>
      </c>
      <c r="C211" s="633" t="str">
        <f t="shared" ca="1" si="47"/>
        <v>Frankrike</v>
      </c>
      <c r="D211" s="634" t="str">
        <f ca="1">IF(C211="","",Voorblad!$X$82)</f>
        <v>D4</v>
      </c>
    </row>
    <row r="212" spans="1:4" s="651" customFormat="1" x14ac:dyDescent="0.25">
      <c r="A212" s="631" t="str">
        <f t="shared" si="70"/>
        <v>F</v>
      </c>
      <c r="B212" s="632">
        <f>B211+2</f>
        <v>27</v>
      </c>
      <c r="C212" s="633" t="str">
        <f t="shared" ca="1" si="47"/>
        <v>Belgien</v>
      </c>
      <c r="D212" s="634" t="str">
        <f ca="1">IF(C212="","",Voorblad!$X$83)</f>
        <v>E1</v>
      </c>
    </row>
    <row r="213" spans="1:4" s="651" customFormat="1" x14ac:dyDescent="0.25">
      <c r="A213" s="631" t="str">
        <f>A212</f>
        <v>F</v>
      </c>
      <c r="B213" s="632">
        <f>B212+1</f>
        <v>28</v>
      </c>
      <c r="C213" s="633" t="str">
        <f t="shared" ca="1" si="47"/>
        <v>Slovakien</v>
      </c>
      <c r="D213" s="634" t="str">
        <f ca="1">IF(C213="","",Voorblad!$X$84)</f>
        <v>E2</v>
      </c>
    </row>
    <row r="214" spans="1:4" s="651" customFormat="1" x14ac:dyDescent="0.25">
      <c r="A214" s="631" t="str">
        <f t="shared" ref="A214:A216" si="72">A213</f>
        <v>F</v>
      </c>
      <c r="B214" s="632">
        <f t="shared" ref="B214:B215" si="73">B213+1</f>
        <v>29</v>
      </c>
      <c r="C214" s="633" t="str">
        <f t="shared" ca="1" si="47"/>
        <v>Rumänien</v>
      </c>
      <c r="D214" s="634" t="str">
        <f ca="1">IF(C214="","",Voorblad!$X$85)</f>
        <v>E3</v>
      </c>
    </row>
    <row r="215" spans="1:4" s="651" customFormat="1" x14ac:dyDescent="0.25">
      <c r="A215" s="631" t="str">
        <f t="shared" si="72"/>
        <v>F</v>
      </c>
      <c r="B215" s="632">
        <f t="shared" si="73"/>
        <v>30</v>
      </c>
      <c r="C215" s="633" t="str">
        <f t="shared" ca="1" si="47"/>
        <v>Ukraina</v>
      </c>
      <c r="D215" s="634" t="str">
        <f ca="1">IF(C215="","",Voorblad!$X$86)</f>
        <v>E4</v>
      </c>
    </row>
    <row r="216" spans="1:4" s="651" customFormat="1" x14ac:dyDescent="0.25">
      <c r="A216" s="631" t="str">
        <f t="shared" si="72"/>
        <v>F</v>
      </c>
      <c r="B216" s="632">
        <f>B215+2</f>
        <v>32</v>
      </c>
      <c r="C216" s="633" t="str">
        <f t="shared" ca="1" si="47"/>
        <v>Turkiet</v>
      </c>
      <c r="D216" s="634" t="str">
        <f ca="1">IF(C216="","",Voorblad!$X$87)</f>
        <v>F1</v>
      </c>
    </row>
    <row r="217" spans="1:4" s="651" customFormat="1" x14ac:dyDescent="0.25">
      <c r="A217" s="631" t="str">
        <f>A216</f>
        <v>F</v>
      </c>
      <c r="B217" s="632">
        <f>B216+1</f>
        <v>33</v>
      </c>
      <c r="C217" s="633" t="str">
        <f t="shared" ca="1" si="47"/>
        <v>Georgien</v>
      </c>
      <c r="D217" s="634" t="str">
        <f ca="1">IF(C217="","",Voorblad!$X$88)</f>
        <v>F2</v>
      </c>
    </row>
    <row r="218" spans="1:4" s="651" customFormat="1" x14ac:dyDescent="0.25">
      <c r="A218" s="631" t="str">
        <f t="shared" ref="A218:A220" si="74">A217</f>
        <v>F</v>
      </c>
      <c r="B218" s="632">
        <f t="shared" ref="B218:B219" si="75">B217+1</f>
        <v>34</v>
      </c>
      <c r="C218" s="633" t="str">
        <f t="shared" ca="1" si="47"/>
        <v>Portugal</v>
      </c>
      <c r="D218" s="634" t="str">
        <f ca="1">IF(C218="","",Voorblad!$X$89)</f>
        <v>F3</v>
      </c>
    </row>
    <row r="219" spans="1:4" s="651" customFormat="1" x14ac:dyDescent="0.25">
      <c r="A219" s="631" t="str">
        <f t="shared" si="74"/>
        <v>F</v>
      </c>
      <c r="B219" s="632">
        <f t="shared" si="75"/>
        <v>35</v>
      </c>
      <c r="C219" s="633" t="str">
        <f t="shared" ca="1" si="47"/>
        <v>Tjeckien</v>
      </c>
      <c r="D219" s="634" t="str">
        <f ca="1">IF(C219="","",Voorblad!$X$90)</f>
        <v>F4</v>
      </c>
    </row>
    <row r="220" spans="1:4" s="651" customFormat="1" x14ac:dyDescent="0.25">
      <c r="A220" s="631" t="str">
        <f t="shared" si="74"/>
        <v>F</v>
      </c>
      <c r="B220" s="632">
        <f>B219+2</f>
        <v>37</v>
      </c>
      <c r="C220" s="633" t="str">
        <f t="shared" ca="1" si="47"/>
        <v>ZZZ_land_G1</v>
      </c>
      <c r="D220" s="634" t="str">
        <f ca="1">IF(C220="","",Voorblad!$X$91)</f>
        <v>G1</v>
      </c>
    </row>
    <row r="221" spans="1:4" s="651" customFormat="1" x14ac:dyDescent="0.25">
      <c r="A221" s="631" t="str">
        <f>A220</f>
        <v>F</v>
      </c>
      <c r="B221" s="632">
        <f>B220+1</f>
        <v>38</v>
      </c>
      <c r="C221" s="633" t="str">
        <f t="shared" ca="1" si="47"/>
        <v>ZZZ_land_G2</v>
      </c>
      <c r="D221" s="634" t="str">
        <f ca="1">IF(C221="","",Voorblad!$X$92)</f>
        <v>G2</v>
      </c>
    </row>
    <row r="222" spans="1:4" s="651" customFormat="1" x14ac:dyDescent="0.25">
      <c r="A222" s="631" t="str">
        <f t="shared" ref="A222:A224" si="76">A221</f>
        <v>F</v>
      </c>
      <c r="B222" s="632">
        <f t="shared" ref="B222:B223" si="77">B221+1</f>
        <v>39</v>
      </c>
      <c r="C222" s="633" t="str">
        <f t="shared" ca="1" si="47"/>
        <v>ZZZ_land_G3</v>
      </c>
      <c r="D222" s="634" t="str">
        <f ca="1">IF(C222="","",Voorblad!$X$93)</f>
        <v>G3</v>
      </c>
    </row>
    <row r="223" spans="1:4" s="651" customFormat="1" x14ac:dyDescent="0.25">
      <c r="A223" s="631" t="str">
        <f t="shared" si="76"/>
        <v>F</v>
      </c>
      <c r="B223" s="632">
        <f t="shared" si="77"/>
        <v>40</v>
      </c>
      <c r="C223" s="633" t="str">
        <f t="shared" ca="1" si="47"/>
        <v>ZZZ_land_G4</v>
      </c>
      <c r="D223" s="634" t="str">
        <f ca="1">IF(C223="","",Voorblad!$X$94)</f>
        <v>G4</v>
      </c>
    </row>
    <row r="224" spans="1:4" s="651" customFormat="1" x14ac:dyDescent="0.25">
      <c r="A224" s="631" t="str">
        <f t="shared" si="76"/>
        <v>F</v>
      </c>
      <c r="B224" s="632">
        <f>B223+2</f>
        <v>42</v>
      </c>
      <c r="C224" s="633" t="str">
        <f t="shared" ca="1" si="47"/>
        <v>ZZZ_land_H1</v>
      </c>
      <c r="D224" s="634" t="str">
        <f ca="1">IF(C224="","",Voorblad!$X$95)</f>
        <v>H1</v>
      </c>
    </row>
    <row r="225" spans="1:4" s="651" customFormat="1" x14ac:dyDescent="0.25">
      <c r="A225" s="631" t="str">
        <f>A224</f>
        <v>F</v>
      </c>
      <c r="B225" s="632">
        <f>B224+1</f>
        <v>43</v>
      </c>
      <c r="C225" s="633" t="str">
        <f t="shared" ca="1" si="47"/>
        <v>ZZZ_land_H2</v>
      </c>
      <c r="D225" s="634" t="str">
        <f ca="1">IF(C225="","",Voorblad!$X$96)</f>
        <v>H2</v>
      </c>
    </row>
    <row r="226" spans="1:4" s="651" customFormat="1" x14ac:dyDescent="0.25">
      <c r="A226" s="631" t="str">
        <f t="shared" ref="A226:A227" si="78">A225</f>
        <v>F</v>
      </c>
      <c r="B226" s="632">
        <f t="shared" ref="B226:B227" si="79">B225+1</f>
        <v>44</v>
      </c>
      <c r="C226" s="633" t="str">
        <f t="shared" ca="1" si="47"/>
        <v>ZZZ_land_H3</v>
      </c>
      <c r="D226" s="634" t="str">
        <f ca="1">IF(C226="","",Voorblad!$X$97)</f>
        <v>H3</v>
      </c>
    </row>
    <row r="227" spans="1:4" s="651" customFormat="1" x14ac:dyDescent="0.25">
      <c r="A227" s="635" t="str">
        <f t="shared" si="78"/>
        <v>F</v>
      </c>
      <c r="B227" s="636">
        <f t="shared" si="79"/>
        <v>45</v>
      </c>
      <c r="C227" s="637" t="str">
        <f t="shared" ca="1" si="47"/>
        <v>ZZZ_land_H4</v>
      </c>
      <c r="D227" s="638" t="str">
        <f ca="1">IF(C227="","",Voorblad!X$98)</f>
        <v>H4</v>
      </c>
    </row>
    <row r="228" spans="1:4" s="651" customFormat="1" x14ac:dyDescent="0.25">
      <c r="A228" s="639" t="str">
        <f>CHAR(CODE(A196)+1)</f>
        <v>G</v>
      </c>
      <c r="B228" s="640">
        <v>7</v>
      </c>
      <c r="C228" s="641" t="str">
        <f t="shared" ca="1" si="47"/>
        <v/>
      </c>
      <c r="D228" s="642" t="str">
        <f ca="1">IF(C228="","",Voorblad!$X$67)</f>
        <v/>
      </c>
    </row>
    <row r="229" spans="1:4" s="651" customFormat="1" x14ac:dyDescent="0.25">
      <c r="A229" s="643" t="str">
        <f>A228</f>
        <v>G</v>
      </c>
      <c r="B229" s="644">
        <f>B228+1</f>
        <v>8</v>
      </c>
      <c r="C229" s="645" t="str">
        <f t="shared" ref="C229:C292" ca="1" si="80">IF(ISBLANK(INDIRECT(A229&amp;B229)),"",INDIRECT(A229&amp;B229))</f>
        <v/>
      </c>
      <c r="D229" s="646" t="str">
        <f ca="1">IF(C229="","",Voorblad!$X$68)</f>
        <v/>
      </c>
    </row>
    <row r="230" spans="1:4" s="651" customFormat="1" x14ac:dyDescent="0.25">
      <c r="A230" s="643" t="str">
        <f t="shared" ref="A230:A232" si="81">A229</f>
        <v>G</v>
      </c>
      <c r="B230" s="644">
        <f t="shared" ref="B230:B231" si="82">B229+1</f>
        <v>9</v>
      </c>
      <c r="C230" s="645" t="str">
        <f t="shared" ca="1" si="80"/>
        <v/>
      </c>
      <c r="D230" s="646" t="str">
        <f ca="1">IF(C230="","",Voorblad!$X$69)</f>
        <v/>
      </c>
    </row>
    <row r="231" spans="1:4" s="651" customFormat="1" x14ac:dyDescent="0.25">
      <c r="A231" s="643" t="str">
        <f t="shared" si="81"/>
        <v>G</v>
      </c>
      <c r="B231" s="644">
        <f t="shared" si="82"/>
        <v>10</v>
      </c>
      <c r="C231" s="645" t="str">
        <f t="shared" ca="1" si="80"/>
        <v/>
      </c>
      <c r="D231" s="646" t="str">
        <f ca="1">IF(C231="","",Voorblad!$X$70)</f>
        <v/>
      </c>
    </row>
    <row r="232" spans="1:4" s="651" customFormat="1" x14ac:dyDescent="0.25">
      <c r="A232" s="643" t="str">
        <f t="shared" si="81"/>
        <v>G</v>
      </c>
      <c r="B232" s="644">
        <f>B231+2</f>
        <v>12</v>
      </c>
      <c r="C232" s="645" t="str">
        <f t="shared" ca="1" si="80"/>
        <v/>
      </c>
      <c r="D232" s="646" t="str">
        <f ca="1">IF(C232="","",Voorblad!$X$71)</f>
        <v/>
      </c>
    </row>
    <row r="233" spans="1:4" s="651" customFormat="1" x14ac:dyDescent="0.25">
      <c r="A233" s="643" t="str">
        <f>A232</f>
        <v>G</v>
      </c>
      <c r="B233" s="644">
        <f>B232+1</f>
        <v>13</v>
      </c>
      <c r="C233" s="645" t="str">
        <f t="shared" ca="1" si="80"/>
        <v/>
      </c>
      <c r="D233" s="646" t="str">
        <f ca="1">IF(C233="","",Voorblad!$X$72)</f>
        <v/>
      </c>
    </row>
    <row r="234" spans="1:4" s="651" customFormat="1" x14ac:dyDescent="0.25">
      <c r="A234" s="643" t="str">
        <f t="shared" ref="A234:A236" si="83">A233</f>
        <v>G</v>
      </c>
      <c r="B234" s="644">
        <f t="shared" ref="B234:B235" si="84">B233+1</f>
        <v>14</v>
      </c>
      <c r="C234" s="645" t="str">
        <f t="shared" ca="1" si="80"/>
        <v/>
      </c>
      <c r="D234" s="646" t="str">
        <f ca="1">IF(C234="","",Voorblad!$X$73)</f>
        <v/>
      </c>
    </row>
    <row r="235" spans="1:4" s="651" customFormat="1" x14ac:dyDescent="0.25">
      <c r="A235" s="643" t="str">
        <f t="shared" si="83"/>
        <v>G</v>
      </c>
      <c r="B235" s="644">
        <f t="shared" si="84"/>
        <v>15</v>
      </c>
      <c r="C235" s="645" t="str">
        <f t="shared" ca="1" si="80"/>
        <v/>
      </c>
      <c r="D235" s="646" t="str">
        <f ca="1">IF(C235="","",Voorblad!$X$74)</f>
        <v/>
      </c>
    </row>
    <row r="236" spans="1:4" s="651" customFormat="1" x14ac:dyDescent="0.25">
      <c r="A236" s="643" t="str">
        <f t="shared" si="83"/>
        <v>G</v>
      </c>
      <c r="B236" s="644">
        <f>B235+2</f>
        <v>17</v>
      </c>
      <c r="C236" s="645" t="str">
        <f t="shared" ca="1" si="80"/>
        <v/>
      </c>
      <c r="D236" s="646" t="str">
        <f ca="1">IF(C236="","",Voorblad!$X$75)</f>
        <v/>
      </c>
    </row>
    <row r="237" spans="1:4" s="651" customFormat="1" x14ac:dyDescent="0.25">
      <c r="A237" s="643" t="str">
        <f>A236</f>
        <v>G</v>
      </c>
      <c r="B237" s="644">
        <f>B236+1</f>
        <v>18</v>
      </c>
      <c r="C237" s="645" t="str">
        <f t="shared" ca="1" si="80"/>
        <v/>
      </c>
      <c r="D237" s="646" t="str">
        <f ca="1">IF(C237="","",Voorblad!$X$76)</f>
        <v/>
      </c>
    </row>
    <row r="238" spans="1:4" s="651" customFormat="1" x14ac:dyDescent="0.25">
      <c r="A238" s="643" t="str">
        <f t="shared" ref="A238:A240" si="85">A237</f>
        <v>G</v>
      </c>
      <c r="B238" s="644">
        <f t="shared" ref="B238:B239" si="86">B237+1</f>
        <v>19</v>
      </c>
      <c r="C238" s="645" t="str">
        <f t="shared" ca="1" si="80"/>
        <v/>
      </c>
      <c r="D238" s="646" t="str">
        <f ca="1">IF(C238="","",Voorblad!$X$77)</f>
        <v/>
      </c>
    </row>
    <row r="239" spans="1:4" s="651" customFormat="1" x14ac:dyDescent="0.25">
      <c r="A239" s="643" t="str">
        <f t="shared" si="85"/>
        <v>G</v>
      </c>
      <c r="B239" s="644">
        <f t="shared" si="86"/>
        <v>20</v>
      </c>
      <c r="C239" s="645" t="str">
        <f t="shared" ca="1" si="80"/>
        <v/>
      </c>
      <c r="D239" s="646" t="str">
        <f ca="1">IF(C239="","",Voorblad!$X$78)</f>
        <v/>
      </c>
    </row>
    <row r="240" spans="1:4" s="651" customFormat="1" x14ac:dyDescent="0.25">
      <c r="A240" s="643" t="str">
        <f t="shared" si="85"/>
        <v>G</v>
      </c>
      <c r="B240" s="644">
        <f>B239+2</f>
        <v>22</v>
      </c>
      <c r="C240" s="645" t="str">
        <f t="shared" ca="1" si="80"/>
        <v/>
      </c>
      <c r="D240" s="646" t="str">
        <f ca="1">IF(C240="","",Voorblad!$X$79)</f>
        <v/>
      </c>
    </row>
    <row r="241" spans="1:4" s="651" customFormat="1" x14ac:dyDescent="0.25">
      <c r="A241" s="643" t="str">
        <f>A240</f>
        <v>G</v>
      </c>
      <c r="B241" s="644">
        <f>B240+1</f>
        <v>23</v>
      </c>
      <c r="C241" s="645" t="str">
        <f t="shared" ca="1" si="80"/>
        <v/>
      </c>
      <c r="D241" s="646" t="str">
        <f ca="1">IF(C241="","",Voorblad!$X$80)</f>
        <v/>
      </c>
    </row>
    <row r="242" spans="1:4" s="651" customFormat="1" x14ac:dyDescent="0.25">
      <c r="A242" s="643" t="str">
        <f t="shared" ref="A242:A244" si="87">A241</f>
        <v>G</v>
      </c>
      <c r="B242" s="644">
        <f t="shared" ref="B242:B243" si="88">B241+1</f>
        <v>24</v>
      </c>
      <c r="C242" s="645" t="str">
        <f t="shared" ca="1" si="80"/>
        <v/>
      </c>
      <c r="D242" s="646" t="str">
        <f ca="1">IF(C242="","",Voorblad!$X$81)</f>
        <v/>
      </c>
    </row>
    <row r="243" spans="1:4" s="651" customFormat="1" x14ac:dyDescent="0.25">
      <c r="A243" s="643" t="str">
        <f t="shared" si="87"/>
        <v>G</v>
      </c>
      <c r="B243" s="644">
        <f t="shared" si="88"/>
        <v>25</v>
      </c>
      <c r="C243" s="645" t="str">
        <f t="shared" ca="1" si="80"/>
        <v/>
      </c>
      <c r="D243" s="646" t="str">
        <f ca="1">IF(C243="","",Voorblad!$X$82)</f>
        <v/>
      </c>
    </row>
    <row r="244" spans="1:4" s="651" customFormat="1" x14ac:dyDescent="0.25">
      <c r="A244" s="643" t="str">
        <f t="shared" si="87"/>
        <v>G</v>
      </c>
      <c r="B244" s="644">
        <f>B243+2</f>
        <v>27</v>
      </c>
      <c r="C244" s="645" t="str">
        <f t="shared" ca="1" si="80"/>
        <v/>
      </c>
      <c r="D244" s="646" t="str">
        <f ca="1">IF(C244="","",Voorblad!$X$83)</f>
        <v/>
      </c>
    </row>
    <row r="245" spans="1:4" s="651" customFormat="1" x14ac:dyDescent="0.25">
      <c r="A245" s="643" t="str">
        <f>A244</f>
        <v>G</v>
      </c>
      <c r="B245" s="644">
        <f>B244+1</f>
        <v>28</v>
      </c>
      <c r="C245" s="645" t="str">
        <f t="shared" ca="1" si="80"/>
        <v/>
      </c>
      <c r="D245" s="646" t="str">
        <f ca="1">IF(C245="","",Voorblad!$X$84)</f>
        <v/>
      </c>
    </row>
    <row r="246" spans="1:4" s="651" customFormat="1" x14ac:dyDescent="0.25">
      <c r="A246" s="643" t="str">
        <f t="shared" ref="A246:A248" si="89">A245</f>
        <v>G</v>
      </c>
      <c r="B246" s="644">
        <f t="shared" ref="B246:B247" si="90">B245+1</f>
        <v>29</v>
      </c>
      <c r="C246" s="645" t="str">
        <f t="shared" ca="1" si="80"/>
        <v/>
      </c>
      <c r="D246" s="646" t="str">
        <f ca="1">IF(C246="","",Voorblad!$X$85)</f>
        <v/>
      </c>
    </row>
    <row r="247" spans="1:4" s="651" customFormat="1" x14ac:dyDescent="0.25">
      <c r="A247" s="643" t="str">
        <f t="shared" si="89"/>
        <v>G</v>
      </c>
      <c r="B247" s="644">
        <f t="shared" si="90"/>
        <v>30</v>
      </c>
      <c r="C247" s="645" t="str">
        <f t="shared" ca="1" si="80"/>
        <v/>
      </c>
      <c r="D247" s="646" t="str">
        <f ca="1">IF(C247="","",Voorblad!$X$86)</f>
        <v/>
      </c>
    </row>
    <row r="248" spans="1:4" s="651" customFormat="1" x14ac:dyDescent="0.25">
      <c r="A248" s="643" t="str">
        <f t="shared" si="89"/>
        <v>G</v>
      </c>
      <c r="B248" s="644">
        <f>B247+2</f>
        <v>32</v>
      </c>
      <c r="C248" s="645" t="str">
        <f t="shared" ca="1" si="80"/>
        <v/>
      </c>
      <c r="D248" s="646" t="str">
        <f ca="1">IF(C248="","",Voorblad!$X$87)</f>
        <v/>
      </c>
    </row>
    <row r="249" spans="1:4" s="651" customFormat="1" x14ac:dyDescent="0.25">
      <c r="A249" s="643" t="str">
        <f>A248</f>
        <v>G</v>
      </c>
      <c r="B249" s="644">
        <f>B248+1</f>
        <v>33</v>
      </c>
      <c r="C249" s="645" t="str">
        <f t="shared" ca="1" si="80"/>
        <v/>
      </c>
      <c r="D249" s="646" t="str">
        <f ca="1">IF(C249="","",Voorblad!$X$88)</f>
        <v/>
      </c>
    </row>
    <row r="250" spans="1:4" s="651" customFormat="1" x14ac:dyDescent="0.25">
      <c r="A250" s="643" t="str">
        <f t="shared" ref="A250:A252" si="91">A249</f>
        <v>G</v>
      </c>
      <c r="B250" s="644">
        <f t="shared" ref="B250:B251" si="92">B249+1</f>
        <v>34</v>
      </c>
      <c r="C250" s="645" t="str">
        <f t="shared" ca="1" si="80"/>
        <v/>
      </c>
      <c r="D250" s="646" t="str">
        <f ca="1">IF(C250="","",Voorblad!$X$89)</f>
        <v/>
      </c>
    </row>
    <row r="251" spans="1:4" s="651" customFormat="1" x14ac:dyDescent="0.25">
      <c r="A251" s="643" t="str">
        <f t="shared" si="91"/>
        <v>G</v>
      </c>
      <c r="B251" s="644">
        <f t="shared" si="92"/>
        <v>35</v>
      </c>
      <c r="C251" s="645" t="str">
        <f t="shared" ca="1" si="80"/>
        <v/>
      </c>
      <c r="D251" s="646" t="str">
        <f ca="1">IF(C251="","",Voorblad!$X$90)</f>
        <v/>
      </c>
    </row>
    <row r="252" spans="1:4" s="651" customFormat="1" x14ac:dyDescent="0.25">
      <c r="A252" s="643" t="str">
        <f t="shared" si="91"/>
        <v>G</v>
      </c>
      <c r="B252" s="644">
        <f>B251+2</f>
        <v>37</v>
      </c>
      <c r="C252" s="645" t="str">
        <f t="shared" ca="1" si="80"/>
        <v/>
      </c>
      <c r="D252" s="646" t="str">
        <f ca="1">IF(C252="","",Voorblad!$X$91)</f>
        <v/>
      </c>
    </row>
    <row r="253" spans="1:4" s="651" customFormat="1" x14ac:dyDescent="0.25">
      <c r="A253" s="643" t="str">
        <f>A252</f>
        <v>G</v>
      </c>
      <c r="B253" s="644">
        <f>B252+1</f>
        <v>38</v>
      </c>
      <c r="C253" s="645" t="str">
        <f t="shared" ca="1" si="80"/>
        <v/>
      </c>
      <c r="D253" s="646" t="str">
        <f ca="1">IF(C253="","",Voorblad!$X$92)</f>
        <v/>
      </c>
    </row>
    <row r="254" spans="1:4" s="651" customFormat="1" x14ac:dyDescent="0.25">
      <c r="A254" s="643" t="str">
        <f t="shared" ref="A254:A256" si="93">A253</f>
        <v>G</v>
      </c>
      <c r="B254" s="644">
        <f t="shared" ref="B254:B255" si="94">B253+1</f>
        <v>39</v>
      </c>
      <c r="C254" s="645" t="str">
        <f t="shared" ca="1" si="80"/>
        <v/>
      </c>
      <c r="D254" s="646" t="str">
        <f ca="1">IF(C254="","",Voorblad!$X$93)</f>
        <v/>
      </c>
    </row>
    <row r="255" spans="1:4" s="651" customFormat="1" x14ac:dyDescent="0.25">
      <c r="A255" s="643" t="str">
        <f t="shared" si="93"/>
        <v>G</v>
      </c>
      <c r="B255" s="644">
        <f t="shared" si="94"/>
        <v>40</v>
      </c>
      <c r="C255" s="645" t="str">
        <f t="shared" ca="1" si="80"/>
        <v/>
      </c>
      <c r="D255" s="646" t="str">
        <f ca="1">IF(C255="","",Voorblad!$X$94)</f>
        <v/>
      </c>
    </row>
    <row r="256" spans="1:4" s="651" customFormat="1" x14ac:dyDescent="0.25">
      <c r="A256" s="643" t="str">
        <f t="shared" si="93"/>
        <v>G</v>
      </c>
      <c r="B256" s="644">
        <f>B255+2</f>
        <v>42</v>
      </c>
      <c r="C256" s="645" t="str">
        <f t="shared" ca="1" si="80"/>
        <v/>
      </c>
      <c r="D256" s="646" t="str">
        <f ca="1">IF(C256="","",Voorblad!$X$95)</f>
        <v/>
      </c>
    </row>
    <row r="257" spans="1:4" s="651" customFormat="1" x14ac:dyDescent="0.25">
      <c r="A257" s="643" t="str">
        <f>A256</f>
        <v>G</v>
      </c>
      <c r="B257" s="644">
        <f>B256+1</f>
        <v>43</v>
      </c>
      <c r="C257" s="645" t="str">
        <f t="shared" ca="1" si="80"/>
        <v/>
      </c>
      <c r="D257" s="646" t="str">
        <f ca="1">IF(C257="","",Voorblad!$X$96)</f>
        <v/>
      </c>
    </row>
    <row r="258" spans="1:4" s="651" customFormat="1" x14ac:dyDescent="0.25">
      <c r="A258" s="643" t="str">
        <f t="shared" ref="A258:A259" si="95">A257</f>
        <v>G</v>
      </c>
      <c r="B258" s="644">
        <f t="shared" ref="B258:B259" si="96">B257+1</f>
        <v>44</v>
      </c>
      <c r="C258" s="645" t="str">
        <f t="shared" ca="1" si="80"/>
        <v/>
      </c>
      <c r="D258" s="646" t="str">
        <f ca="1">IF(C258="","",Voorblad!$X$97)</f>
        <v/>
      </c>
    </row>
    <row r="259" spans="1:4" s="651" customFormat="1" x14ac:dyDescent="0.25">
      <c r="A259" s="647" t="str">
        <f t="shared" si="95"/>
        <v>G</v>
      </c>
      <c r="B259" s="648">
        <f t="shared" si="96"/>
        <v>45</v>
      </c>
      <c r="C259" s="649" t="str">
        <f t="shared" ca="1" si="80"/>
        <v/>
      </c>
      <c r="D259" s="650" t="str">
        <f ca="1">IF(C259="","",Voorblad!X$98)</f>
        <v/>
      </c>
    </row>
    <row r="260" spans="1:4" s="651" customFormat="1" x14ac:dyDescent="0.25">
      <c r="A260" s="627" t="str">
        <f>CHAR(CODE(A228)+1)</f>
        <v>H</v>
      </c>
      <c r="B260" s="628">
        <v>7</v>
      </c>
      <c r="C260" s="629" t="str">
        <f t="shared" ca="1" si="80"/>
        <v/>
      </c>
      <c r="D260" s="630" t="str">
        <f ca="1">IF(C260="","",Voorblad!$X$67)</f>
        <v/>
      </c>
    </row>
    <row r="261" spans="1:4" s="651" customFormat="1" x14ac:dyDescent="0.25">
      <c r="A261" s="631" t="str">
        <f>A260</f>
        <v>H</v>
      </c>
      <c r="B261" s="632">
        <f>B260+1</f>
        <v>8</v>
      </c>
      <c r="C261" s="633" t="str">
        <f t="shared" ca="1" si="80"/>
        <v/>
      </c>
      <c r="D261" s="634" t="str">
        <f ca="1">IF(C261="","",Voorblad!$X$68)</f>
        <v/>
      </c>
    </row>
    <row r="262" spans="1:4" s="651" customFormat="1" x14ac:dyDescent="0.25">
      <c r="A262" s="631" t="str">
        <f t="shared" ref="A262:A264" si="97">A261</f>
        <v>H</v>
      </c>
      <c r="B262" s="632">
        <f t="shared" ref="B262:B263" si="98">B261+1</f>
        <v>9</v>
      </c>
      <c r="C262" s="633" t="str">
        <f t="shared" ca="1" si="80"/>
        <v/>
      </c>
      <c r="D262" s="634" t="str">
        <f ca="1">IF(C262="","",Voorblad!$X$69)</f>
        <v/>
      </c>
    </row>
    <row r="263" spans="1:4" s="651" customFormat="1" x14ac:dyDescent="0.25">
      <c r="A263" s="631" t="str">
        <f t="shared" si="97"/>
        <v>H</v>
      </c>
      <c r="B263" s="632">
        <f t="shared" si="98"/>
        <v>10</v>
      </c>
      <c r="C263" s="633" t="str">
        <f t="shared" ca="1" si="80"/>
        <v/>
      </c>
      <c r="D263" s="634" t="str">
        <f ca="1">IF(C263="","",Voorblad!$X$70)</f>
        <v/>
      </c>
    </row>
    <row r="264" spans="1:4" s="651" customFormat="1" x14ac:dyDescent="0.25">
      <c r="A264" s="631" t="str">
        <f t="shared" si="97"/>
        <v>H</v>
      </c>
      <c r="B264" s="632">
        <f>B263+2</f>
        <v>12</v>
      </c>
      <c r="C264" s="633" t="str">
        <f t="shared" ca="1" si="80"/>
        <v/>
      </c>
      <c r="D264" s="634" t="str">
        <f ca="1">IF(C264="","",Voorblad!$X$71)</f>
        <v/>
      </c>
    </row>
    <row r="265" spans="1:4" s="651" customFormat="1" x14ac:dyDescent="0.25">
      <c r="A265" s="631" t="str">
        <f>A264</f>
        <v>H</v>
      </c>
      <c r="B265" s="632">
        <f>B264+1</f>
        <v>13</v>
      </c>
      <c r="C265" s="633" t="str">
        <f t="shared" ca="1" si="80"/>
        <v/>
      </c>
      <c r="D265" s="634" t="str">
        <f ca="1">IF(C265="","",Voorblad!$X$72)</f>
        <v/>
      </c>
    </row>
    <row r="266" spans="1:4" s="651" customFormat="1" x14ac:dyDescent="0.25">
      <c r="A266" s="631" t="str">
        <f t="shared" ref="A266:A268" si="99">A265</f>
        <v>H</v>
      </c>
      <c r="B266" s="632">
        <f t="shared" ref="B266:B267" si="100">B265+1</f>
        <v>14</v>
      </c>
      <c r="C266" s="633" t="str">
        <f t="shared" ca="1" si="80"/>
        <v/>
      </c>
      <c r="D266" s="634" t="str">
        <f ca="1">IF(C266="","",Voorblad!$X$73)</f>
        <v/>
      </c>
    </row>
    <row r="267" spans="1:4" s="651" customFormat="1" x14ac:dyDescent="0.25">
      <c r="A267" s="631" t="str">
        <f t="shared" si="99"/>
        <v>H</v>
      </c>
      <c r="B267" s="632">
        <f t="shared" si="100"/>
        <v>15</v>
      </c>
      <c r="C267" s="633" t="str">
        <f t="shared" ca="1" si="80"/>
        <v/>
      </c>
      <c r="D267" s="634" t="str">
        <f ca="1">IF(C267="","",Voorblad!$X$74)</f>
        <v/>
      </c>
    </row>
    <row r="268" spans="1:4" s="651" customFormat="1" x14ac:dyDescent="0.25">
      <c r="A268" s="631" t="str">
        <f t="shared" si="99"/>
        <v>H</v>
      </c>
      <c r="B268" s="632">
        <f>B267+2</f>
        <v>17</v>
      </c>
      <c r="C268" s="633" t="str">
        <f t="shared" ca="1" si="80"/>
        <v/>
      </c>
      <c r="D268" s="634" t="str">
        <f ca="1">IF(C268="","",Voorblad!$X$75)</f>
        <v/>
      </c>
    </row>
    <row r="269" spans="1:4" s="651" customFormat="1" x14ac:dyDescent="0.25">
      <c r="A269" s="631" t="str">
        <f>A268</f>
        <v>H</v>
      </c>
      <c r="B269" s="632">
        <f>B268+1</f>
        <v>18</v>
      </c>
      <c r="C269" s="633" t="str">
        <f t="shared" ca="1" si="80"/>
        <v/>
      </c>
      <c r="D269" s="634" t="str">
        <f ca="1">IF(C269="","",Voorblad!$X$76)</f>
        <v/>
      </c>
    </row>
    <row r="270" spans="1:4" s="651" customFormat="1" x14ac:dyDescent="0.25">
      <c r="A270" s="631" t="str">
        <f t="shared" ref="A270:A272" si="101">A269</f>
        <v>H</v>
      </c>
      <c r="B270" s="632">
        <f t="shared" ref="B270:B271" si="102">B269+1</f>
        <v>19</v>
      </c>
      <c r="C270" s="633" t="str">
        <f t="shared" ca="1" si="80"/>
        <v/>
      </c>
      <c r="D270" s="634" t="str">
        <f ca="1">IF(C270="","",Voorblad!$X$77)</f>
        <v/>
      </c>
    </row>
    <row r="271" spans="1:4" s="651" customFormat="1" x14ac:dyDescent="0.25">
      <c r="A271" s="631" t="str">
        <f t="shared" si="101"/>
        <v>H</v>
      </c>
      <c r="B271" s="632">
        <f t="shared" si="102"/>
        <v>20</v>
      </c>
      <c r="C271" s="633" t="str">
        <f t="shared" ca="1" si="80"/>
        <v/>
      </c>
      <c r="D271" s="634" t="str">
        <f ca="1">IF(C271="","",Voorblad!$X$78)</f>
        <v/>
      </c>
    </row>
    <row r="272" spans="1:4" s="651" customFormat="1" x14ac:dyDescent="0.25">
      <c r="A272" s="631" t="str">
        <f t="shared" si="101"/>
        <v>H</v>
      </c>
      <c r="B272" s="632">
        <f>B271+2</f>
        <v>22</v>
      </c>
      <c r="C272" s="633" t="str">
        <f t="shared" ca="1" si="80"/>
        <v/>
      </c>
      <c r="D272" s="634" t="str">
        <f ca="1">IF(C272="","",Voorblad!$X$79)</f>
        <v/>
      </c>
    </row>
    <row r="273" spans="1:4" s="651" customFormat="1" x14ac:dyDescent="0.25">
      <c r="A273" s="631" t="str">
        <f>A272</f>
        <v>H</v>
      </c>
      <c r="B273" s="632">
        <f>B272+1</f>
        <v>23</v>
      </c>
      <c r="C273" s="633" t="str">
        <f t="shared" ca="1" si="80"/>
        <v/>
      </c>
      <c r="D273" s="634" t="str">
        <f ca="1">IF(C273="","",Voorblad!$X$80)</f>
        <v/>
      </c>
    </row>
    <row r="274" spans="1:4" s="651" customFormat="1" x14ac:dyDescent="0.25">
      <c r="A274" s="631" t="str">
        <f t="shared" ref="A274:A276" si="103">A273</f>
        <v>H</v>
      </c>
      <c r="B274" s="632">
        <f t="shared" ref="B274:B275" si="104">B273+1</f>
        <v>24</v>
      </c>
      <c r="C274" s="633" t="str">
        <f t="shared" ca="1" si="80"/>
        <v/>
      </c>
      <c r="D274" s="634" t="str">
        <f ca="1">IF(C274="","",Voorblad!$X$81)</f>
        <v/>
      </c>
    </row>
    <row r="275" spans="1:4" s="651" customFormat="1" x14ac:dyDescent="0.25">
      <c r="A275" s="631" t="str">
        <f t="shared" si="103"/>
        <v>H</v>
      </c>
      <c r="B275" s="632">
        <f t="shared" si="104"/>
        <v>25</v>
      </c>
      <c r="C275" s="633" t="str">
        <f t="shared" ca="1" si="80"/>
        <v/>
      </c>
      <c r="D275" s="634" t="str">
        <f ca="1">IF(C275="","",Voorblad!$X$82)</f>
        <v/>
      </c>
    </row>
    <row r="276" spans="1:4" s="651" customFormat="1" x14ac:dyDescent="0.25">
      <c r="A276" s="631" t="str">
        <f t="shared" si="103"/>
        <v>H</v>
      </c>
      <c r="B276" s="632">
        <f>B275+2</f>
        <v>27</v>
      </c>
      <c r="C276" s="633" t="str">
        <f t="shared" ca="1" si="80"/>
        <v/>
      </c>
      <c r="D276" s="634" t="str">
        <f ca="1">IF(C276="","",Voorblad!$X$83)</f>
        <v/>
      </c>
    </row>
    <row r="277" spans="1:4" s="651" customFormat="1" x14ac:dyDescent="0.25">
      <c r="A277" s="631" t="str">
        <f>A276</f>
        <v>H</v>
      </c>
      <c r="B277" s="632">
        <f>B276+1</f>
        <v>28</v>
      </c>
      <c r="C277" s="633" t="str">
        <f t="shared" ca="1" si="80"/>
        <v/>
      </c>
      <c r="D277" s="634" t="str">
        <f ca="1">IF(C277="","",Voorblad!$X$84)</f>
        <v/>
      </c>
    </row>
    <row r="278" spans="1:4" s="651" customFormat="1" x14ac:dyDescent="0.25">
      <c r="A278" s="631" t="str">
        <f t="shared" ref="A278:A280" si="105">A277</f>
        <v>H</v>
      </c>
      <c r="B278" s="632">
        <f t="shared" ref="B278:B279" si="106">B277+1</f>
        <v>29</v>
      </c>
      <c r="C278" s="633" t="str">
        <f t="shared" ca="1" si="80"/>
        <v/>
      </c>
      <c r="D278" s="634" t="str">
        <f ca="1">IF(C278="","",Voorblad!$X$85)</f>
        <v/>
      </c>
    </row>
    <row r="279" spans="1:4" s="651" customFormat="1" x14ac:dyDescent="0.25">
      <c r="A279" s="631" t="str">
        <f t="shared" si="105"/>
        <v>H</v>
      </c>
      <c r="B279" s="632">
        <f t="shared" si="106"/>
        <v>30</v>
      </c>
      <c r="C279" s="633" t="str">
        <f t="shared" ca="1" si="80"/>
        <v/>
      </c>
      <c r="D279" s="634" t="str">
        <f ca="1">IF(C279="","",Voorblad!$X$86)</f>
        <v/>
      </c>
    </row>
    <row r="280" spans="1:4" s="651" customFormat="1" x14ac:dyDescent="0.25">
      <c r="A280" s="631" t="str">
        <f t="shared" si="105"/>
        <v>H</v>
      </c>
      <c r="B280" s="632">
        <f>B279+2</f>
        <v>32</v>
      </c>
      <c r="C280" s="633" t="str">
        <f t="shared" ca="1" si="80"/>
        <v/>
      </c>
      <c r="D280" s="634" t="str">
        <f ca="1">IF(C280="","",Voorblad!$X$87)</f>
        <v/>
      </c>
    </row>
    <row r="281" spans="1:4" s="651" customFormat="1" x14ac:dyDescent="0.25">
      <c r="A281" s="631" t="str">
        <f>A280</f>
        <v>H</v>
      </c>
      <c r="B281" s="632">
        <f>B280+1</f>
        <v>33</v>
      </c>
      <c r="C281" s="633" t="str">
        <f t="shared" ca="1" si="80"/>
        <v/>
      </c>
      <c r="D281" s="634" t="str">
        <f ca="1">IF(C281="","",Voorblad!$X$88)</f>
        <v/>
      </c>
    </row>
    <row r="282" spans="1:4" s="651" customFormat="1" x14ac:dyDescent="0.25">
      <c r="A282" s="631" t="str">
        <f t="shared" ref="A282:A284" si="107">A281</f>
        <v>H</v>
      </c>
      <c r="B282" s="632">
        <f t="shared" ref="B282:B283" si="108">B281+1</f>
        <v>34</v>
      </c>
      <c r="C282" s="633" t="str">
        <f t="shared" ca="1" si="80"/>
        <v/>
      </c>
      <c r="D282" s="634" t="str">
        <f ca="1">IF(C282="","",Voorblad!$X$89)</f>
        <v/>
      </c>
    </row>
    <row r="283" spans="1:4" s="651" customFormat="1" x14ac:dyDescent="0.25">
      <c r="A283" s="631" t="str">
        <f t="shared" si="107"/>
        <v>H</v>
      </c>
      <c r="B283" s="632">
        <f t="shared" si="108"/>
        <v>35</v>
      </c>
      <c r="C283" s="633" t="str">
        <f t="shared" ca="1" si="80"/>
        <v/>
      </c>
      <c r="D283" s="634" t="str">
        <f ca="1">IF(C283="","",Voorblad!$X$90)</f>
        <v/>
      </c>
    </row>
    <row r="284" spans="1:4" s="651" customFormat="1" x14ac:dyDescent="0.25">
      <c r="A284" s="631" t="str">
        <f t="shared" si="107"/>
        <v>H</v>
      </c>
      <c r="B284" s="632">
        <f>B283+2</f>
        <v>37</v>
      </c>
      <c r="C284" s="633" t="str">
        <f t="shared" ca="1" si="80"/>
        <v/>
      </c>
      <c r="D284" s="634" t="str">
        <f ca="1">IF(C284="","",Voorblad!$X$91)</f>
        <v/>
      </c>
    </row>
    <row r="285" spans="1:4" s="651" customFormat="1" x14ac:dyDescent="0.25">
      <c r="A285" s="631" t="str">
        <f>A284</f>
        <v>H</v>
      </c>
      <c r="B285" s="632">
        <f>B284+1</f>
        <v>38</v>
      </c>
      <c r="C285" s="633" t="str">
        <f t="shared" ca="1" si="80"/>
        <v/>
      </c>
      <c r="D285" s="634" t="str">
        <f ca="1">IF(C285="","",Voorblad!$X$92)</f>
        <v/>
      </c>
    </row>
    <row r="286" spans="1:4" s="651" customFormat="1" x14ac:dyDescent="0.25">
      <c r="A286" s="631" t="str">
        <f t="shared" ref="A286:A288" si="109">A285</f>
        <v>H</v>
      </c>
      <c r="B286" s="632">
        <f t="shared" ref="B286:B287" si="110">B285+1</f>
        <v>39</v>
      </c>
      <c r="C286" s="633" t="str">
        <f t="shared" ca="1" si="80"/>
        <v/>
      </c>
      <c r="D286" s="634" t="str">
        <f ca="1">IF(C286="","",Voorblad!$X$93)</f>
        <v/>
      </c>
    </row>
    <row r="287" spans="1:4" s="651" customFormat="1" x14ac:dyDescent="0.25">
      <c r="A287" s="631" t="str">
        <f t="shared" si="109"/>
        <v>H</v>
      </c>
      <c r="B287" s="632">
        <f t="shared" si="110"/>
        <v>40</v>
      </c>
      <c r="C287" s="633" t="str">
        <f t="shared" ca="1" si="80"/>
        <v/>
      </c>
      <c r="D287" s="634" t="str">
        <f ca="1">IF(C287="","",Voorblad!$X$94)</f>
        <v/>
      </c>
    </row>
    <row r="288" spans="1:4" s="651" customFormat="1" x14ac:dyDescent="0.25">
      <c r="A288" s="631" t="str">
        <f t="shared" si="109"/>
        <v>H</v>
      </c>
      <c r="B288" s="632">
        <f>B287+2</f>
        <v>42</v>
      </c>
      <c r="C288" s="633" t="str">
        <f t="shared" ca="1" si="80"/>
        <v/>
      </c>
      <c r="D288" s="634" t="str">
        <f ca="1">IF(C288="","",Voorblad!$X$95)</f>
        <v/>
      </c>
    </row>
    <row r="289" spans="1:4" s="651" customFormat="1" x14ac:dyDescent="0.25">
      <c r="A289" s="631" t="str">
        <f>A288</f>
        <v>H</v>
      </c>
      <c r="B289" s="632">
        <f>B288+1</f>
        <v>43</v>
      </c>
      <c r="C289" s="633" t="str">
        <f t="shared" ca="1" si="80"/>
        <v/>
      </c>
      <c r="D289" s="634" t="str">
        <f ca="1">IF(C289="","",Voorblad!$X$96)</f>
        <v/>
      </c>
    </row>
    <row r="290" spans="1:4" s="651" customFormat="1" x14ac:dyDescent="0.25">
      <c r="A290" s="631" t="str">
        <f t="shared" ref="A290:A291" si="111">A289</f>
        <v>H</v>
      </c>
      <c r="B290" s="632">
        <f t="shared" ref="B290:B291" si="112">B289+1</f>
        <v>44</v>
      </c>
      <c r="C290" s="633" t="str">
        <f t="shared" ca="1" si="80"/>
        <v/>
      </c>
      <c r="D290" s="634" t="str">
        <f ca="1">IF(C290="","",Voorblad!$X$97)</f>
        <v/>
      </c>
    </row>
    <row r="291" spans="1:4" s="651" customFormat="1" x14ac:dyDescent="0.25">
      <c r="A291" s="635" t="str">
        <f t="shared" si="111"/>
        <v>H</v>
      </c>
      <c r="B291" s="636">
        <f t="shared" si="112"/>
        <v>45</v>
      </c>
      <c r="C291" s="637" t="str">
        <f t="shared" ca="1" si="80"/>
        <v/>
      </c>
      <c r="D291" s="638" t="str">
        <f ca="1">IF(C291="","",Voorblad!X$98)</f>
        <v/>
      </c>
    </row>
    <row r="292" spans="1:4" s="651" customFormat="1" x14ac:dyDescent="0.25">
      <c r="A292" s="639" t="str">
        <f>CHAR(CODE(A260)+1)</f>
        <v>I</v>
      </c>
      <c r="B292" s="640">
        <v>7</v>
      </c>
      <c r="C292" s="641" t="str">
        <f t="shared" ca="1" si="80"/>
        <v/>
      </c>
      <c r="D292" s="642" t="str">
        <f ca="1">IF(C292="","",Voorblad!$X$67)</f>
        <v/>
      </c>
    </row>
    <row r="293" spans="1:4" s="651" customFormat="1" x14ac:dyDescent="0.25">
      <c r="A293" s="643" t="str">
        <f>A292</f>
        <v>I</v>
      </c>
      <c r="B293" s="644">
        <f>B292+1</f>
        <v>8</v>
      </c>
      <c r="C293" s="645" t="str">
        <f t="shared" ref="C293:C356" ca="1" si="113">IF(ISBLANK(INDIRECT(A293&amp;B293)),"",INDIRECT(A293&amp;B293))</f>
        <v/>
      </c>
      <c r="D293" s="646" t="str">
        <f ca="1">IF(C293="","",Voorblad!$X$68)</f>
        <v/>
      </c>
    </row>
    <row r="294" spans="1:4" s="651" customFormat="1" x14ac:dyDescent="0.25">
      <c r="A294" s="643" t="str">
        <f t="shared" ref="A294:A296" si="114">A293</f>
        <v>I</v>
      </c>
      <c r="B294" s="644">
        <f t="shared" ref="B294:B295" si="115">B293+1</f>
        <v>9</v>
      </c>
      <c r="C294" s="645" t="str">
        <f t="shared" ca="1" si="113"/>
        <v/>
      </c>
      <c r="D294" s="646" t="str">
        <f ca="1">IF(C294="","",Voorblad!$X$69)</f>
        <v/>
      </c>
    </row>
    <row r="295" spans="1:4" s="651" customFormat="1" x14ac:dyDescent="0.25">
      <c r="A295" s="643" t="str">
        <f t="shared" si="114"/>
        <v>I</v>
      </c>
      <c r="B295" s="644">
        <f t="shared" si="115"/>
        <v>10</v>
      </c>
      <c r="C295" s="645" t="str">
        <f t="shared" ca="1" si="113"/>
        <v/>
      </c>
      <c r="D295" s="646" t="str">
        <f ca="1">IF(C295="","",Voorblad!$X$70)</f>
        <v/>
      </c>
    </row>
    <row r="296" spans="1:4" s="651" customFormat="1" x14ac:dyDescent="0.25">
      <c r="A296" s="643" t="str">
        <f t="shared" si="114"/>
        <v>I</v>
      </c>
      <c r="B296" s="644">
        <f>B295+2</f>
        <v>12</v>
      </c>
      <c r="C296" s="645" t="str">
        <f t="shared" ca="1" si="113"/>
        <v/>
      </c>
      <c r="D296" s="646" t="str">
        <f ca="1">IF(C296="","",Voorblad!$X$71)</f>
        <v/>
      </c>
    </row>
    <row r="297" spans="1:4" s="651" customFormat="1" x14ac:dyDescent="0.25">
      <c r="A297" s="643" t="str">
        <f>A296</f>
        <v>I</v>
      </c>
      <c r="B297" s="644">
        <f>B296+1</f>
        <v>13</v>
      </c>
      <c r="C297" s="645" t="str">
        <f t="shared" ca="1" si="113"/>
        <v/>
      </c>
      <c r="D297" s="646" t="str">
        <f ca="1">IF(C297="","",Voorblad!$X$72)</f>
        <v/>
      </c>
    </row>
    <row r="298" spans="1:4" s="651" customFormat="1" x14ac:dyDescent="0.25">
      <c r="A298" s="643" t="str">
        <f t="shared" ref="A298:A300" si="116">A297</f>
        <v>I</v>
      </c>
      <c r="B298" s="644">
        <f t="shared" ref="B298:B299" si="117">B297+1</f>
        <v>14</v>
      </c>
      <c r="C298" s="645" t="str">
        <f t="shared" ca="1" si="113"/>
        <v/>
      </c>
      <c r="D298" s="646" t="str">
        <f ca="1">IF(C298="","",Voorblad!$X$73)</f>
        <v/>
      </c>
    </row>
    <row r="299" spans="1:4" s="651" customFormat="1" x14ac:dyDescent="0.25">
      <c r="A299" s="643" t="str">
        <f t="shared" si="116"/>
        <v>I</v>
      </c>
      <c r="B299" s="644">
        <f t="shared" si="117"/>
        <v>15</v>
      </c>
      <c r="C299" s="645" t="str">
        <f t="shared" ca="1" si="113"/>
        <v/>
      </c>
      <c r="D299" s="646" t="str">
        <f ca="1">IF(C299="","",Voorblad!$X$74)</f>
        <v/>
      </c>
    </row>
    <row r="300" spans="1:4" s="651" customFormat="1" x14ac:dyDescent="0.25">
      <c r="A300" s="643" t="str">
        <f t="shared" si="116"/>
        <v>I</v>
      </c>
      <c r="B300" s="644">
        <f>B299+2</f>
        <v>17</v>
      </c>
      <c r="C300" s="645" t="str">
        <f t="shared" ca="1" si="113"/>
        <v/>
      </c>
      <c r="D300" s="646" t="str">
        <f ca="1">IF(C300="","",Voorblad!$X$75)</f>
        <v/>
      </c>
    </row>
    <row r="301" spans="1:4" s="651" customFormat="1" x14ac:dyDescent="0.25">
      <c r="A301" s="643" t="str">
        <f>A300</f>
        <v>I</v>
      </c>
      <c r="B301" s="644">
        <f>B300+1</f>
        <v>18</v>
      </c>
      <c r="C301" s="645" t="str">
        <f t="shared" ca="1" si="113"/>
        <v/>
      </c>
      <c r="D301" s="646" t="str">
        <f ca="1">IF(C301="","",Voorblad!$X$76)</f>
        <v/>
      </c>
    </row>
    <row r="302" spans="1:4" s="651" customFormat="1" x14ac:dyDescent="0.25">
      <c r="A302" s="643" t="str">
        <f t="shared" ref="A302:A304" si="118">A301</f>
        <v>I</v>
      </c>
      <c r="B302" s="644">
        <f t="shared" ref="B302:B303" si="119">B301+1</f>
        <v>19</v>
      </c>
      <c r="C302" s="645" t="str">
        <f t="shared" ca="1" si="113"/>
        <v/>
      </c>
      <c r="D302" s="646" t="str">
        <f ca="1">IF(C302="","",Voorblad!$X$77)</f>
        <v/>
      </c>
    </row>
    <row r="303" spans="1:4" s="651" customFormat="1" x14ac:dyDescent="0.25">
      <c r="A303" s="643" t="str">
        <f t="shared" si="118"/>
        <v>I</v>
      </c>
      <c r="B303" s="644">
        <f t="shared" si="119"/>
        <v>20</v>
      </c>
      <c r="C303" s="645" t="str">
        <f t="shared" ca="1" si="113"/>
        <v/>
      </c>
      <c r="D303" s="646" t="str">
        <f ca="1">IF(C303="","",Voorblad!$X$78)</f>
        <v/>
      </c>
    </row>
    <row r="304" spans="1:4" s="651" customFormat="1" x14ac:dyDescent="0.25">
      <c r="A304" s="643" t="str">
        <f t="shared" si="118"/>
        <v>I</v>
      </c>
      <c r="B304" s="644">
        <f>B303+2</f>
        <v>22</v>
      </c>
      <c r="C304" s="645" t="str">
        <f t="shared" ca="1" si="113"/>
        <v/>
      </c>
      <c r="D304" s="646" t="str">
        <f ca="1">IF(C304="","",Voorblad!$X$79)</f>
        <v/>
      </c>
    </row>
    <row r="305" spans="1:4" s="651" customFormat="1" x14ac:dyDescent="0.25">
      <c r="A305" s="643" t="str">
        <f>A304</f>
        <v>I</v>
      </c>
      <c r="B305" s="644">
        <f>B304+1</f>
        <v>23</v>
      </c>
      <c r="C305" s="645" t="str">
        <f t="shared" ca="1" si="113"/>
        <v/>
      </c>
      <c r="D305" s="646" t="str">
        <f ca="1">IF(C305="","",Voorblad!$X$80)</f>
        <v/>
      </c>
    </row>
    <row r="306" spans="1:4" s="651" customFormat="1" x14ac:dyDescent="0.25">
      <c r="A306" s="643" t="str">
        <f t="shared" ref="A306:A308" si="120">A305</f>
        <v>I</v>
      </c>
      <c r="B306" s="644">
        <f t="shared" ref="B306:B307" si="121">B305+1</f>
        <v>24</v>
      </c>
      <c r="C306" s="645" t="str">
        <f t="shared" ca="1" si="113"/>
        <v/>
      </c>
      <c r="D306" s="646" t="str">
        <f ca="1">IF(C306="","",Voorblad!$X$81)</f>
        <v/>
      </c>
    </row>
    <row r="307" spans="1:4" s="651" customFormat="1" x14ac:dyDescent="0.25">
      <c r="A307" s="643" t="str">
        <f t="shared" si="120"/>
        <v>I</v>
      </c>
      <c r="B307" s="644">
        <f t="shared" si="121"/>
        <v>25</v>
      </c>
      <c r="C307" s="645" t="str">
        <f t="shared" ca="1" si="113"/>
        <v/>
      </c>
      <c r="D307" s="646" t="str">
        <f ca="1">IF(C307="","",Voorblad!$X$82)</f>
        <v/>
      </c>
    </row>
    <row r="308" spans="1:4" s="651" customFormat="1" x14ac:dyDescent="0.25">
      <c r="A308" s="643" t="str">
        <f t="shared" si="120"/>
        <v>I</v>
      </c>
      <c r="B308" s="644">
        <f>B307+2</f>
        <v>27</v>
      </c>
      <c r="C308" s="645" t="str">
        <f t="shared" ca="1" si="113"/>
        <v/>
      </c>
      <c r="D308" s="646" t="str">
        <f ca="1">IF(C308="","",Voorblad!$X$83)</f>
        <v/>
      </c>
    </row>
    <row r="309" spans="1:4" x14ac:dyDescent="0.25">
      <c r="A309" s="643" t="str">
        <f>A308</f>
        <v>I</v>
      </c>
      <c r="B309" s="644">
        <f>B308+1</f>
        <v>28</v>
      </c>
      <c r="C309" s="645" t="str">
        <f t="shared" ca="1" si="113"/>
        <v/>
      </c>
      <c r="D309" s="646" t="str">
        <f ca="1">IF(C309="","",Voorblad!$X$84)</f>
        <v/>
      </c>
    </row>
    <row r="310" spans="1:4" x14ac:dyDescent="0.25">
      <c r="A310" s="643" t="str">
        <f t="shared" ref="A310:A312" si="122">A309</f>
        <v>I</v>
      </c>
      <c r="B310" s="644">
        <f t="shared" ref="B310:B311" si="123">B309+1</f>
        <v>29</v>
      </c>
      <c r="C310" s="645" t="str">
        <f t="shared" ca="1" si="113"/>
        <v/>
      </c>
      <c r="D310" s="646" t="str">
        <f ca="1">IF(C310="","",Voorblad!$X$85)</f>
        <v/>
      </c>
    </row>
    <row r="311" spans="1:4" x14ac:dyDescent="0.25">
      <c r="A311" s="643" t="str">
        <f t="shared" si="122"/>
        <v>I</v>
      </c>
      <c r="B311" s="644">
        <f t="shared" si="123"/>
        <v>30</v>
      </c>
      <c r="C311" s="645" t="str">
        <f t="shared" ca="1" si="113"/>
        <v/>
      </c>
      <c r="D311" s="646" t="str">
        <f ca="1">IF(C311="","",Voorblad!$X$86)</f>
        <v/>
      </c>
    </row>
    <row r="312" spans="1:4" x14ac:dyDescent="0.25">
      <c r="A312" s="643" t="str">
        <f t="shared" si="122"/>
        <v>I</v>
      </c>
      <c r="B312" s="644">
        <f>B311+2</f>
        <v>32</v>
      </c>
      <c r="C312" s="645" t="str">
        <f t="shared" ca="1" si="113"/>
        <v/>
      </c>
      <c r="D312" s="646" t="str">
        <f ca="1">IF(C312="","",Voorblad!$X$87)</f>
        <v/>
      </c>
    </row>
    <row r="313" spans="1:4" x14ac:dyDescent="0.25">
      <c r="A313" s="643" t="str">
        <f>A312</f>
        <v>I</v>
      </c>
      <c r="B313" s="644">
        <f>B312+1</f>
        <v>33</v>
      </c>
      <c r="C313" s="645" t="str">
        <f t="shared" ca="1" si="113"/>
        <v/>
      </c>
      <c r="D313" s="646" t="str">
        <f ca="1">IF(C313="","",Voorblad!$X$88)</f>
        <v/>
      </c>
    </row>
    <row r="314" spans="1:4" x14ac:dyDescent="0.25">
      <c r="A314" s="643" t="str">
        <f t="shared" ref="A314:A316" si="124">A313</f>
        <v>I</v>
      </c>
      <c r="B314" s="644">
        <f t="shared" ref="B314:B315" si="125">B313+1</f>
        <v>34</v>
      </c>
      <c r="C314" s="645" t="str">
        <f t="shared" ca="1" si="113"/>
        <v/>
      </c>
      <c r="D314" s="646" t="str">
        <f ca="1">IF(C314="","",Voorblad!$X$89)</f>
        <v/>
      </c>
    </row>
    <row r="315" spans="1:4" x14ac:dyDescent="0.25">
      <c r="A315" s="643" t="str">
        <f t="shared" si="124"/>
        <v>I</v>
      </c>
      <c r="B315" s="644">
        <f t="shared" si="125"/>
        <v>35</v>
      </c>
      <c r="C315" s="645" t="str">
        <f t="shared" ca="1" si="113"/>
        <v/>
      </c>
      <c r="D315" s="646" t="str">
        <f ca="1">IF(C315="","",Voorblad!$X$90)</f>
        <v/>
      </c>
    </row>
    <row r="316" spans="1:4" x14ac:dyDescent="0.25">
      <c r="A316" s="643" t="str">
        <f t="shared" si="124"/>
        <v>I</v>
      </c>
      <c r="B316" s="644">
        <f>B315+2</f>
        <v>37</v>
      </c>
      <c r="C316" s="645" t="str">
        <f t="shared" ca="1" si="113"/>
        <v/>
      </c>
      <c r="D316" s="646" t="str">
        <f ca="1">IF(C316="","",Voorblad!$X$91)</f>
        <v/>
      </c>
    </row>
    <row r="317" spans="1:4" x14ac:dyDescent="0.25">
      <c r="A317" s="643" t="str">
        <f>A316</f>
        <v>I</v>
      </c>
      <c r="B317" s="644">
        <f>B316+1</f>
        <v>38</v>
      </c>
      <c r="C317" s="645" t="str">
        <f t="shared" ca="1" si="113"/>
        <v/>
      </c>
      <c r="D317" s="646" t="str">
        <f ca="1">IF(C317="","",Voorblad!$X$92)</f>
        <v/>
      </c>
    </row>
    <row r="318" spans="1:4" x14ac:dyDescent="0.25">
      <c r="A318" s="643" t="str">
        <f t="shared" ref="A318:A320" si="126">A317</f>
        <v>I</v>
      </c>
      <c r="B318" s="644">
        <f t="shared" ref="B318:B319" si="127">B317+1</f>
        <v>39</v>
      </c>
      <c r="C318" s="645" t="str">
        <f t="shared" ca="1" si="113"/>
        <v/>
      </c>
      <c r="D318" s="646" t="str">
        <f ca="1">IF(C318="","",Voorblad!$X$93)</f>
        <v/>
      </c>
    </row>
    <row r="319" spans="1:4" x14ac:dyDescent="0.25">
      <c r="A319" s="643" t="str">
        <f t="shared" si="126"/>
        <v>I</v>
      </c>
      <c r="B319" s="644">
        <f t="shared" si="127"/>
        <v>40</v>
      </c>
      <c r="C319" s="645" t="str">
        <f t="shared" ca="1" si="113"/>
        <v/>
      </c>
      <c r="D319" s="646" t="str">
        <f ca="1">IF(C319="","",Voorblad!$X$94)</f>
        <v/>
      </c>
    </row>
    <row r="320" spans="1:4" x14ac:dyDescent="0.25">
      <c r="A320" s="643" t="str">
        <f t="shared" si="126"/>
        <v>I</v>
      </c>
      <c r="B320" s="644">
        <f>B319+2</f>
        <v>42</v>
      </c>
      <c r="C320" s="645" t="str">
        <f t="shared" ca="1" si="113"/>
        <v/>
      </c>
      <c r="D320" s="646" t="str">
        <f ca="1">IF(C320="","",Voorblad!$X$95)</f>
        <v/>
      </c>
    </row>
    <row r="321" spans="1:4" x14ac:dyDescent="0.25">
      <c r="A321" s="643" t="str">
        <f>A320</f>
        <v>I</v>
      </c>
      <c r="B321" s="644">
        <f>B320+1</f>
        <v>43</v>
      </c>
      <c r="C321" s="645" t="str">
        <f t="shared" ca="1" si="113"/>
        <v/>
      </c>
      <c r="D321" s="646" t="str">
        <f ca="1">IF(C321="","",Voorblad!$X$96)</f>
        <v/>
      </c>
    </row>
    <row r="322" spans="1:4" x14ac:dyDescent="0.25">
      <c r="A322" s="643" t="str">
        <f t="shared" ref="A322:A323" si="128">A321</f>
        <v>I</v>
      </c>
      <c r="B322" s="644">
        <f t="shared" ref="B322:B323" si="129">B321+1</f>
        <v>44</v>
      </c>
      <c r="C322" s="645" t="str">
        <f t="shared" ca="1" si="113"/>
        <v/>
      </c>
      <c r="D322" s="646" t="str">
        <f ca="1">IF(C322="","",Voorblad!$X$97)</f>
        <v/>
      </c>
    </row>
    <row r="323" spans="1:4" x14ac:dyDescent="0.25">
      <c r="A323" s="647" t="str">
        <f t="shared" si="128"/>
        <v>I</v>
      </c>
      <c r="B323" s="648">
        <f t="shared" si="129"/>
        <v>45</v>
      </c>
      <c r="C323" s="649" t="str">
        <f t="shared" ca="1" si="113"/>
        <v/>
      </c>
      <c r="D323" s="650" t="str">
        <f ca="1">IF(C323="","",Voorblad!X$98)</f>
        <v/>
      </c>
    </row>
    <row r="324" spans="1:4" x14ac:dyDescent="0.25">
      <c r="A324" s="627" t="str">
        <f>CHAR(CODE(A292)+1)</f>
        <v>J</v>
      </c>
      <c r="B324" s="628">
        <v>7</v>
      </c>
      <c r="C324" s="629" t="str">
        <f t="shared" ca="1" si="113"/>
        <v/>
      </c>
      <c r="D324" s="630" t="str">
        <f ca="1">IF(C324="","",Voorblad!$X$67)</f>
        <v/>
      </c>
    </row>
    <row r="325" spans="1:4" x14ac:dyDescent="0.25">
      <c r="A325" s="631" t="str">
        <f>A324</f>
        <v>J</v>
      </c>
      <c r="B325" s="632">
        <f>B324+1</f>
        <v>8</v>
      </c>
      <c r="C325" s="633" t="str">
        <f t="shared" ca="1" si="113"/>
        <v/>
      </c>
      <c r="D325" s="634" t="str">
        <f ca="1">IF(C325="","",Voorblad!$X$68)</f>
        <v/>
      </c>
    </row>
    <row r="326" spans="1:4" x14ac:dyDescent="0.25">
      <c r="A326" s="631" t="str">
        <f t="shared" ref="A326:A328" si="130">A325</f>
        <v>J</v>
      </c>
      <c r="B326" s="632">
        <f t="shared" ref="B326:B327" si="131">B325+1</f>
        <v>9</v>
      </c>
      <c r="C326" s="633" t="str">
        <f t="shared" ca="1" si="113"/>
        <v/>
      </c>
      <c r="D326" s="634" t="str">
        <f ca="1">IF(C326="","",Voorblad!$X$69)</f>
        <v/>
      </c>
    </row>
    <row r="327" spans="1:4" x14ac:dyDescent="0.25">
      <c r="A327" s="631" t="str">
        <f t="shared" si="130"/>
        <v>J</v>
      </c>
      <c r="B327" s="632">
        <f t="shared" si="131"/>
        <v>10</v>
      </c>
      <c r="C327" s="633" t="str">
        <f t="shared" ca="1" si="113"/>
        <v/>
      </c>
      <c r="D327" s="634" t="str">
        <f ca="1">IF(C327="","",Voorblad!$X$70)</f>
        <v/>
      </c>
    </row>
    <row r="328" spans="1:4" x14ac:dyDescent="0.25">
      <c r="A328" s="631" t="str">
        <f t="shared" si="130"/>
        <v>J</v>
      </c>
      <c r="B328" s="632">
        <f>B327+2</f>
        <v>12</v>
      </c>
      <c r="C328" s="633" t="str">
        <f t="shared" ca="1" si="113"/>
        <v/>
      </c>
      <c r="D328" s="634" t="str">
        <f ca="1">IF(C328="","",Voorblad!$X$71)</f>
        <v/>
      </c>
    </row>
    <row r="329" spans="1:4" x14ac:dyDescent="0.25">
      <c r="A329" s="631" t="str">
        <f>A328</f>
        <v>J</v>
      </c>
      <c r="B329" s="632">
        <f>B328+1</f>
        <v>13</v>
      </c>
      <c r="C329" s="633" t="str">
        <f t="shared" ca="1" si="113"/>
        <v/>
      </c>
      <c r="D329" s="634" t="str">
        <f ca="1">IF(C329="","",Voorblad!$X$72)</f>
        <v/>
      </c>
    </row>
    <row r="330" spans="1:4" x14ac:dyDescent="0.25">
      <c r="A330" s="631" t="str">
        <f t="shared" ref="A330:A332" si="132">A329</f>
        <v>J</v>
      </c>
      <c r="B330" s="632">
        <f t="shared" ref="B330:B331" si="133">B329+1</f>
        <v>14</v>
      </c>
      <c r="C330" s="633" t="str">
        <f t="shared" ca="1" si="113"/>
        <v/>
      </c>
      <c r="D330" s="634" t="str">
        <f ca="1">IF(C330="","",Voorblad!$X$73)</f>
        <v/>
      </c>
    </row>
    <row r="331" spans="1:4" x14ac:dyDescent="0.25">
      <c r="A331" s="631" t="str">
        <f t="shared" si="132"/>
        <v>J</v>
      </c>
      <c r="B331" s="632">
        <f t="shared" si="133"/>
        <v>15</v>
      </c>
      <c r="C331" s="633" t="str">
        <f t="shared" ca="1" si="113"/>
        <v/>
      </c>
      <c r="D331" s="634" t="str">
        <f ca="1">IF(C331="","",Voorblad!$X$74)</f>
        <v/>
      </c>
    </row>
    <row r="332" spans="1:4" x14ac:dyDescent="0.25">
      <c r="A332" s="631" t="str">
        <f t="shared" si="132"/>
        <v>J</v>
      </c>
      <c r="B332" s="632">
        <f>B331+2</f>
        <v>17</v>
      </c>
      <c r="C332" s="633" t="str">
        <f t="shared" ca="1" si="113"/>
        <v/>
      </c>
      <c r="D332" s="634" t="str">
        <f ca="1">IF(C332="","",Voorblad!$X$75)</f>
        <v/>
      </c>
    </row>
    <row r="333" spans="1:4" x14ac:dyDescent="0.25">
      <c r="A333" s="631" t="str">
        <f>A332</f>
        <v>J</v>
      </c>
      <c r="B333" s="632">
        <f>B332+1</f>
        <v>18</v>
      </c>
      <c r="C333" s="633" t="str">
        <f t="shared" ca="1" si="113"/>
        <v/>
      </c>
      <c r="D333" s="634" t="str">
        <f ca="1">IF(C333="","",Voorblad!$X$76)</f>
        <v/>
      </c>
    </row>
    <row r="334" spans="1:4" x14ac:dyDescent="0.25">
      <c r="A334" s="631" t="str">
        <f t="shared" ref="A334:A336" si="134">A333</f>
        <v>J</v>
      </c>
      <c r="B334" s="632">
        <f t="shared" ref="B334:B335" si="135">B333+1</f>
        <v>19</v>
      </c>
      <c r="C334" s="633" t="str">
        <f t="shared" ca="1" si="113"/>
        <v/>
      </c>
      <c r="D334" s="634" t="str">
        <f ca="1">IF(C334="","",Voorblad!$X$77)</f>
        <v/>
      </c>
    </row>
    <row r="335" spans="1:4" x14ac:dyDescent="0.25">
      <c r="A335" s="631" t="str">
        <f t="shared" si="134"/>
        <v>J</v>
      </c>
      <c r="B335" s="632">
        <f t="shared" si="135"/>
        <v>20</v>
      </c>
      <c r="C335" s="633" t="str">
        <f t="shared" ca="1" si="113"/>
        <v/>
      </c>
      <c r="D335" s="634" t="str">
        <f ca="1">IF(C335="","",Voorblad!$X$78)</f>
        <v/>
      </c>
    </row>
    <row r="336" spans="1:4" x14ac:dyDescent="0.25">
      <c r="A336" s="631" t="str">
        <f t="shared" si="134"/>
        <v>J</v>
      </c>
      <c r="B336" s="632">
        <f>B335+2</f>
        <v>22</v>
      </c>
      <c r="C336" s="633" t="str">
        <f t="shared" ca="1" si="113"/>
        <v/>
      </c>
      <c r="D336" s="634" t="str">
        <f ca="1">IF(C336="","",Voorblad!$X$79)</f>
        <v/>
      </c>
    </row>
    <row r="337" spans="1:4" x14ac:dyDescent="0.25">
      <c r="A337" s="631" t="str">
        <f>A336</f>
        <v>J</v>
      </c>
      <c r="B337" s="632">
        <f>B336+1</f>
        <v>23</v>
      </c>
      <c r="C337" s="633" t="str">
        <f t="shared" ca="1" si="113"/>
        <v/>
      </c>
      <c r="D337" s="634" t="str">
        <f ca="1">IF(C337="","",Voorblad!$X$80)</f>
        <v/>
      </c>
    </row>
    <row r="338" spans="1:4" x14ac:dyDescent="0.25">
      <c r="A338" s="631" t="str">
        <f t="shared" ref="A338:A340" si="136">A337</f>
        <v>J</v>
      </c>
      <c r="B338" s="632">
        <f t="shared" ref="B338:B339" si="137">B337+1</f>
        <v>24</v>
      </c>
      <c r="C338" s="633" t="str">
        <f t="shared" ca="1" si="113"/>
        <v/>
      </c>
      <c r="D338" s="634" t="str">
        <f ca="1">IF(C338="","",Voorblad!$X$81)</f>
        <v/>
      </c>
    </row>
    <row r="339" spans="1:4" x14ac:dyDescent="0.25">
      <c r="A339" s="631" t="str">
        <f t="shared" si="136"/>
        <v>J</v>
      </c>
      <c r="B339" s="632">
        <f t="shared" si="137"/>
        <v>25</v>
      </c>
      <c r="C339" s="633" t="str">
        <f t="shared" ca="1" si="113"/>
        <v/>
      </c>
      <c r="D339" s="634" t="str">
        <f ca="1">IF(C339="","",Voorblad!$X$82)</f>
        <v/>
      </c>
    </row>
    <row r="340" spans="1:4" x14ac:dyDescent="0.25">
      <c r="A340" s="631" t="str">
        <f t="shared" si="136"/>
        <v>J</v>
      </c>
      <c r="B340" s="632">
        <f>B339+2</f>
        <v>27</v>
      </c>
      <c r="C340" s="633" t="str">
        <f t="shared" ca="1" si="113"/>
        <v/>
      </c>
      <c r="D340" s="634" t="str">
        <f ca="1">IF(C340="","",Voorblad!$X$83)</f>
        <v/>
      </c>
    </row>
    <row r="341" spans="1:4" x14ac:dyDescent="0.25">
      <c r="A341" s="631" t="str">
        <f>A340</f>
        <v>J</v>
      </c>
      <c r="B341" s="632">
        <f>B340+1</f>
        <v>28</v>
      </c>
      <c r="C341" s="633" t="str">
        <f t="shared" ca="1" si="113"/>
        <v/>
      </c>
      <c r="D341" s="634" t="str">
        <f ca="1">IF(C341="","",Voorblad!$X$84)</f>
        <v/>
      </c>
    </row>
    <row r="342" spans="1:4" x14ac:dyDescent="0.25">
      <c r="A342" s="631" t="str">
        <f t="shared" ref="A342:A344" si="138">A341</f>
        <v>J</v>
      </c>
      <c r="B342" s="632">
        <f t="shared" ref="B342:B343" si="139">B341+1</f>
        <v>29</v>
      </c>
      <c r="C342" s="633" t="str">
        <f t="shared" ca="1" si="113"/>
        <v/>
      </c>
      <c r="D342" s="634" t="str">
        <f ca="1">IF(C342="","",Voorblad!$X$85)</f>
        <v/>
      </c>
    </row>
    <row r="343" spans="1:4" x14ac:dyDescent="0.25">
      <c r="A343" s="631" t="str">
        <f t="shared" si="138"/>
        <v>J</v>
      </c>
      <c r="B343" s="632">
        <f t="shared" si="139"/>
        <v>30</v>
      </c>
      <c r="C343" s="633" t="str">
        <f t="shared" ca="1" si="113"/>
        <v/>
      </c>
      <c r="D343" s="634" t="str">
        <f ca="1">IF(C343="","",Voorblad!$X$86)</f>
        <v/>
      </c>
    </row>
    <row r="344" spans="1:4" x14ac:dyDescent="0.25">
      <c r="A344" s="631" t="str">
        <f t="shared" si="138"/>
        <v>J</v>
      </c>
      <c r="B344" s="632">
        <f>B343+2</f>
        <v>32</v>
      </c>
      <c r="C344" s="633" t="str">
        <f t="shared" ca="1" si="113"/>
        <v/>
      </c>
      <c r="D344" s="634" t="str">
        <f ca="1">IF(C344="","",Voorblad!$X$87)</f>
        <v/>
      </c>
    </row>
    <row r="345" spans="1:4" x14ac:dyDescent="0.25">
      <c r="A345" s="631" t="str">
        <f>A344</f>
        <v>J</v>
      </c>
      <c r="B345" s="632">
        <f>B344+1</f>
        <v>33</v>
      </c>
      <c r="C345" s="633" t="str">
        <f t="shared" ca="1" si="113"/>
        <v/>
      </c>
      <c r="D345" s="634" t="str">
        <f ca="1">IF(C345="","",Voorblad!$X$88)</f>
        <v/>
      </c>
    </row>
    <row r="346" spans="1:4" x14ac:dyDescent="0.25">
      <c r="A346" s="631" t="str">
        <f t="shared" ref="A346:A348" si="140">A345</f>
        <v>J</v>
      </c>
      <c r="B346" s="632">
        <f t="shared" ref="B346:B347" si="141">B345+1</f>
        <v>34</v>
      </c>
      <c r="C346" s="633" t="str">
        <f t="shared" ca="1" si="113"/>
        <v/>
      </c>
      <c r="D346" s="634" t="str">
        <f ca="1">IF(C346="","",Voorblad!$X$89)</f>
        <v/>
      </c>
    </row>
    <row r="347" spans="1:4" x14ac:dyDescent="0.25">
      <c r="A347" s="631" t="str">
        <f t="shared" si="140"/>
        <v>J</v>
      </c>
      <c r="B347" s="632">
        <f t="shared" si="141"/>
        <v>35</v>
      </c>
      <c r="C347" s="633" t="str">
        <f t="shared" ca="1" si="113"/>
        <v/>
      </c>
      <c r="D347" s="634" t="str">
        <f ca="1">IF(C347="","",Voorblad!$X$90)</f>
        <v/>
      </c>
    </row>
    <row r="348" spans="1:4" x14ac:dyDescent="0.25">
      <c r="A348" s="631" t="str">
        <f t="shared" si="140"/>
        <v>J</v>
      </c>
      <c r="B348" s="632">
        <f>B347+2</f>
        <v>37</v>
      </c>
      <c r="C348" s="633" t="str">
        <f t="shared" ca="1" si="113"/>
        <v/>
      </c>
      <c r="D348" s="634" t="str">
        <f ca="1">IF(C348="","",Voorblad!$X$91)</f>
        <v/>
      </c>
    </row>
    <row r="349" spans="1:4" x14ac:dyDescent="0.25">
      <c r="A349" s="631" t="str">
        <f>A348</f>
        <v>J</v>
      </c>
      <c r="B349" s="632">
        <f>B348+1</f>
        <v>38</v>
      </c>
      <c r="C349" s="633" t="str">
        <f t="shared" ca="1" si="113"/>
        <v/>
      </c>
      <c r="D349" s="634" t="str">
        <f ca="1">IF(C349="","",Voorblad!$X$92)</f>
        <v/>
      </c>
    </row>
    <row r="350" spans="1:4" x14ac:dyDescent="0.25">
      <c r="A350" s="631" t="str">
        <f t="shared" ref="A350:A352" si="142">A349</f>
        <v>J</v>
      </c>
      <c r="B350" s="632">
        <f t="shared" ref="B350:B351" si="143">B349+1</f>
        <v>39</v>
      </c>
      <c r="C350" s="633" t="str">
        <f t="shared" ca="1" si="113"/>
        <v/>
      </c>
      <c r="D350" s="634" t="str">
        <f ca="1">IF(C350="","",Voorblad!$X$93)</f>
        <v/>
      </c>
    </row>
    <row r="351" spans="1:4" x14ac:dyDescent="0.25">
      <c r="A351" s="631" t="str">
        <f t="shared" si="142"/>
        <v>J</v>
      </c>
      <c r="B351" s="632">
        <f t="shared" si="143"/>
        <v>40</v>
      </c>
      <c r="C351" s="633" t="str">
        <f t="shared" ca="1" si="113"/>
        <v/>
      </c>
      <c r="D351" s="634" t="str">
        <f ca="1">IF(C351="","",Voorblad!$X$94)</f>
        <v/>
      </c>
    </row>
    <row r="352" spans="1:4" x14ac:dyDescent="0.25">
      <c r="A352" s="631" t="str">
        <f t="shared" si="142"/>
        <v>J</v>
      </c>
      <c r="B352" s="632">
        <f>B351+2</f>
        <v>42</v>
      </c>
      <c r="C352" s="633" t="str">
        <f t="shared" ca="1" si="113"/>
        <v/>
      </c>
      <c r="D352" s="634" t="str">
        <f ca="1">IF(C352="","",Voorblad!$X$95)</f>
        <v/>
      </c>
    </row>
    <row r="353" spans="1:4" x14ac:dyDescent="0.25">
      <c r="A353" s="631" t="str">
        <f>A352</f>
        <v>J</v>
      </c>
      <c r="B353" s="632">
        <f>B352+1</f>
        <v>43</v>
      </c>
      <c r="C353" s="633" t="str">
        <f t="shared" ca="1" si="113"/>
        <v/>
      </c>
      <c r="D353" s="634" t="str">
        <f ca="1">IF(C353="","",Voorblad!$X$96)</f>
        <v/>
      </c>
    </row>
    <row r="354" spans="1:4" x14ac:dyDescent="0.25">
      <c r="A354" s="631" t="str">
        <f t="shared" ref="A354:A355" si="144">A353</f>
        <v>J</v>
      </c>
      <c r="B354" s="632">
        <f t="shared" ref="B354:B355" si="145">B353+1</f>
        <v>44</v>
      </c>
      <c r="C354" s="633" t="str">
        <f t="shared" ca="1" si="113"/>
        <v/>
      </c>
      <c r="D354" s="634" t="str">
        <f ca="1">IF(C354="","",Voorblad!$X$97)</f>
        <v/>
      </c>
    </row>
    <row r="355" spans="1:4" x14ac:dyDescent="0.25">
      <c r="A355" s="635" t="str">
        <f t="shared" si="144"/>
        <v>J</v>
      </c>
      <c r="B355" s="636">
        <f t="shared" si="145"/>
        <v>45</v>
      </c>
      <c r="C355" s="637" t="str">
        <f t="shared" ca="1" si="113"/>
        <v/>
      </c>
      <c r="D355" s="638" t="str">
        <f ca="1">IF(C355="","",Voorblad!X$98)</f>
        <v/>
      </c>
    </row>
    <row r="356" spans="1:4" x14ac:dyDescent="0.25">
      <c r="A356" s="639" t="str">
        <f>CHAR(CODE(A324)+1)</f>
        <v>K</v>
      </c>
      <c r="B356" s="640">
        <v>7</v>
      </c>
      <c r="C356" s="641" t="str">
        <f t="shared" ca="1" si="113"/>
        <v/>
      </c>
      <c r="D356" s="642" t="str">
        <f ca="1">IF(C356="","",Voorblad!$X$67)</f>
        <v/>
      </c>
    </row>
    <row r="357" spans="1:4" x14ac:dyDescent="0.25">
      <c r="A357" s="643" t="str">
        <f>A356</f>
        <v>K</v>
      </c>
      <c r="B357" s="644">
        <f>B356+1</f>
        <v>8</v>
      </c>
      <c r="C357" s="645" t="str">
        <f t="shared" ref="C357:C419" ca="1" si="146">IF(ISBLANK(INDIRECT(A357&amp;B357)),"",INDIRECT(A357&amp;B357))</f>
        <v/>
      </c>
      <c r="D357" s="646" t="str">
        <f ca="1">IF(C357="","",Voorblad!$X$68)</f>
        <v/>
      </c>
    </row>
    <row r="358" spans="1:4" x14ac:dyDescent="0.25">
      <c r="A358" s="643" t="str">
        <f t="shared" ref="A358:A360" si="147">A357</f>
        <v>K</v>
      </c>
      <c r="B358" s="644">
        <f t="shared" ref="B358:B359" si="148">B357+1</f>
        <v>9</v>
      </c>
      <c r="C358" s="645" t="str">
        <f t="shared" ca="1" si="146"/>
        <v/>
      </c>
      <c r="D358" s="646" t="str">
        <f ca="1">IF(C358="","",Voorblad!$X$69)</f>
        <v/>
      </c>
    </row>
    <row r="359" spans="1:4" x14ac:dyDescent="0.25">
      <c r="A359" s="643" t="str">
        <f t="shared" si="147"/>
        <v>K</v>
      </c>
      <c r="B359" s="644">
        <f t="shared" si="148"/>
        <v>10</v>
      </c>
      <c r="C359" s="645" t="str">
        <f t="shared" ca="1" si="146"/>
        <v/>
      </c>
      <c r="D359" s="646" t="str">
        <f ca="1">IF(C359="","",Voorblad!$X$70)</f>
        <v/>
      </c>
    </row>
    <row r="360" spans="1:4" x14ac:dyDescent="0.25">
      <c r="A360" s="643" t="str">
        <f t="shared" si="147"/>
        <v>K</v>
      </c>
      <c r="B360" s="644">
        <f>B359+2</f>
        <v>12</v>
      </c>
      <c r="C360" s="645" t="str">
        <f t="shared" ca="1" si="146"/>
        <v/>
      </c>
      <c r="D360" s="646" t="str">
        <f ca="1">IF(C360="","",Voorblad!$X$71)</f>
        <v/>
      </c>
    </row>
    <row r="361" spans="1:4" x14ac:dyDescent="0.25">
      <c r="A361" s="643" t="str">
        <f>A360</f>
        <v>K</v>
      </c>
      <c r="B361" s="644">
        <f>B360+1</f>
        <v>13</v>
      </c>
      <c r="C361" s="645" t="str">
        <f t="shared" ca="1" si="146"/>
        <v/>
      </c>
      <c r="D361" s="646" t="str">
        <f ca="1">IF(C361="","",Voorblad!$X$72)</f>
        <v/>
      </c>
    </row>
    <row r="362" spans="1:4" x14ac:dyDescent="0.25">
      <c r="A362" s="643" t="str">
        <f t="shared" ref="A362:A364" si="149">A361</f>
        <v>K</v>
      </c>
      <c r="B362" s="644">
        <f t="shared" ref="B362:B363" si="150">B361+1</f>
        <v>14</v>
      </c>
      <c r="C362" s="645" t="str">
        <f t="shared" ca="1" si="146"/>
        <v/>
      </c>
      <c r="D362" s="646" t="str">
        <f ca="1">IF(C362="","",Voorblad!$X$73)</f>
        <v/>
      </c>
    </row>
    <row r="363" spans="1:4" x14ac:dyDescent="0.25">
      <c r="A363" s="643" t="str">
        <f t="shared" si="149"/>
        <v>K</v>
      </c>
      <c r="B363" s="644">
        <f t="shared" si="150"/>
        <v>15</v>
      </c>
      <c r="C363" s="645" t="str">
        <f t="shared" ca="1" si="146"/>
        <v/>
      </c>
      <c r="D363" s="646" t="str">
        <f ca="1">IF(C363="","",Voorblad!$X$74)</f>
        <v/>
      </c>
    </row>
    <row r="364" spans="1:4" x14ac:dyDescent="0.25">
      <c r="A364" s="643" t="str">
        <f t="shared" si="149"/>
        <v>K</v>
      </c>
      <c r="B364" s="644">
        <f>B363+2</f>
        <v>17</v>
      </c>
      <c r="C364" s="645" t="str">
        <f t="shared" ca="1" si="146"/>
        <v/>
      </c>
      <c r="D364" s="646" t="str">
        <f ca="1">IF(C364="","",Voorblad!$X$75)</f>
        <v/>
      </c>
    </row>
    <row r="365" spans="1:4" x14ac:dyDescent="0.25">
      <c r="A365" s="643" t="str">
        <f>A364</f>
        <v>K</v>
      </c>
      <c r="B365" s="644">
        <f>B364+1</f>
        <v>18</v>
      </c>
      <c r="C365" s="645" t="str">
        <f t="shared" ca="1" si="146"/>
        <v/>
      </c>
      <c r="D365" s="646" t="str">
        <f ca="1">IF(C365="","",Voorblad!$X$76)</f>
        <v/>
      </c>
    </row>
    <row r="366" spans="1:4" x14ac:dyDescent="0.25">
      <c r="A366" s="643" t="str">
        <f t="shared" ref="A366:A368" si="151">A365</f>
        <v>K</v>
      </c>
      <c r="B366" s="644">
        <f t="shared" ref="B366:B367" si="152">B365+1</f>
        <v>19</v>
      </c>
      <c r="C366" s="645" t="str">
        <f t="shared" ca="1" si="146"/>
        <v/>
      </c>
      <c r="D366" s="646" t="str">
        <f ca="1">IF(C366="","",Voorblad!$X$77)</f>
        <v/>
      </c>
    </row>
    <row r="367" spans="1:4" x14ac:dyDescent="0.25">
      <c r="A367" s="643" t="str">
        <f t="shared" si="151"/>
        <v>K</v>
      </c>
      <c r="B367" s="644">
        <f t="shared" si="152"/>
        <v>20</v>
      </c>
      <c r="C367" s="645" t="str">
        <f t="shared" ca="1" si="146"/>
        <v/>
      </c>
      <c r="D367" s="646" t="str">
        <f ca="1">IF(C367="","",Voorblad!$X$78)</f>
        <v/>
      </c>
    </row>
    <row r="368" spans="1:4" x14ac:dyDescent="0.25">
      <c r="A368" s="643" t="str">
        <f t="shared" si="151"/>
        <v>K</v>
      </c>
      <c r="B368" s="644">
        <f>B367+2</f>
        <v>22</v>
      </c>
      <c r="C368" s="645" t="str">
        <f t="shared" ca="1" si="146"/>
        <v/>
      </c>
      <c r="D368" s="646" t="str">
        <f ca="1">IF(C368="","",Voorblad!$X$79)</f>
        <v/>
      </c>
    </row>
    <row r="369" spans="1:4" x14ac:dyDescent="0.25">
      <c r="A369" s="643" t="str">
        <f>A368</f>
        <v>K</v>
      </c>
      <c r="B369" s="644">
        <f>B368+1</f>
        <v>23</v>
      </c>
      <c r="C369" s="645" t="str">
        <f t="shared" ca="1" si="146"/>
        <v/>
      </c>
      <c r="D369" s="646" t="str">
        <f ca="1">IF(C369="","",Voorblad!$X$80)</f>
        <v/>
      </c>
    </row>
    <row r="370" spans="1:4" x14ac:dyDescent="0.25">
      <c r="A370" s="643" t="str">
        <f t="shared" ref="A370:A372" si="153">A369</f>
        <v>K</v>
      </c>
      <c r="B370" s="644">
        <f t="shared" ref="B370:B371" si="154">B369+1</f>
        <v>24</v>
      </c>
      <c r="C370" s="645" t="str">
        <f t="shared" ca="1" si="146"/>
        <v/>
      </c>
      <c r="D370" s="646" t="str">
        <f ca="1">IF(C370="","",Voorblad!$X$81)</f>
        <v/>
      </c>
    </row>
    <row r="371" spans="1:4" x14ac:dyDescent="0.25">
      <c r="A371" s="643" t="str">
        <f t="shared" si="153"/>
        <v>K</v>
      </c>
      <c r="B371" s="644">
        <f t="shared" si="154"/>
        <v>25</v>
      </c>
      <c r="C371" s="645" t="str">
        <f t="shared" ca="1" si="146"/>
        <v/>
      </c>
      <c r="D371" s="646" t="str">
        <f ca="1">IF(C371="","",Voorblad!$X$82)</f>
        <v/>
      </c>
    </row>
    <row r="372" spans="1:4" x14ac:dyDescent="0.25">
      <c r="A372" s="643" t="str">
        <f t="shared" si="153"/>
        <v>K</v>
      </c>
      <c r="B372" s="644">
        <f>B371+2</f>
        <v>27</v>
      </c>
      <c r="C372" s="645" t="str">
        <f t="shared" ca="1" si="146"/>
        <v/>
      </c>
      <c r="D372" s="646" t="str">
        <f ca="1">IF(C372="","",Voorblad!$X$83)</f>
        <v/>
      </c>
    </row>
    <row r="373" spans="1:4" x14ac:dyDescent="0.25">
      <c r="A373" s="643" t="str">
        <f>A372</f>
        <v>K</v>
      </c>
      <c r="B373" s="644">
        <f>B372+1</f>
        <v>28</v>
      </c>
      <c r="C373" s="645" t="str">
        <f t="shared" ca="1" si="146"/>
        <v/>
      </c>
      <c r="D373" s="646" t="str">
        <f ca="1">IF(C373="","",Voorblad!$X$84)</f>
        <v/>
      </c>
    </row>
    <row r="374" spans="1:4" x14ac:dyDescent="0.25">
      <c r="A374" s="643" t="str">
        <f t="shared" ref="A374:A376" si="155">A373</f>
        <v>K</v>
      </c>
      <c r="B374" s="644">
        <f t="shared" ref="B374:B375" si="156">B373+1</f>
        <v>29</v>
      </c>
      <c r="C374" s="645" t="str">
        <f t="shared" ca="1" si="146"/>
        <v/>
      </c>
      <c r="D374" s="646" t="str">
        <f ca="1">IF(C374="","",Voorblad!$X$85)</f>
        <v/>
      </c>
    </row>
    <row r="375" spans="1:4" x14ac:dyDescent="0.25">
      <c r="A375" s="643" t="str">
        <f t="shared" si="155"/>
        <v>K</v>
      </c>
      <c r="B375" s="644">
        <f t="shared" si="156"/>
        <v>30</v>
      </c>
      <c r="C375" s="645" t="str">
        <f t="shared" ca="1" si="146"/>
        <v/>
      </c>
      <c r="D375" s="646" t="str">
        <f ca="1">IF(C375="","",Voorblad!$X$86)</f>
        <v/>
      </c>
    </row>
    <row r="376" spans="1:4" x14ac:dyDescent="0.25">
      <c r="A376" s="643" t="str">
        <f t="shared" si="155"/>
        <v>K</v>
      </c>
      <c r="B376" s="644">
        <f>B375+2</f>
        <v>32</v>
      </c>
      <c r="C376" s="645" t="str">
        <f t="shared" ca="1" si="146"/>
        <v/>
      </c>
      <c r="D376" s="646" t="str">
        <f ca="1">IF(C376="","",Voorblad!$X$87)</f>
        <v/>
      </c>
    </row>
    <row r="377" spans="1:4" x14ac:dyDescent="0.25">
      <c r="A377" s="643" t="str">
        <f>A376</f>
        <v>K</v>
      </c>
      <c r="B377" s="644">
        <f>B376+1</f>
        <v>33</v>
      </c>
      <c r="C377" s="645" t="str">
        <f t="shared" ca="1" si="146"/>
        <v/>
      </c>
      <c r="D377" s="646" t="str">
        <f ca="1">IF(C377="","",Voorblad!$X$88)</f>
        <v/>
      </c>
    </row>
    <row r="378" spans="1:4" x14ac:dyDescent="0.25">
      <c r="A378" s="643" t="str">
        <f t="shared" ref="A378:A380" si="157">A377</f>
        <v>K</v>
      </c>
      <c r="B378" s="644">
        <f t="shared" ref="B378:B379" si="158">B377+1</f>
        <v>34</v>
      </c>
      <c r="C378" s="645" t="str">
        <f t="shared" ca="1" si="146"/>
        <v/>
      </c>
      <c r="D378" s="646" t="str">
        <f ca="1">IF(C378="","",Voorblad!$X$89)</f>
        <v/>
      </c>
    </row>
    <row r="379" spans="1:4" x14ac:dyDescent="0.25">
      <c r="A379" s="643" t="str">
        <f t="shared" si="157"/>
        <v>K</v>
      </c>
      <c r="B379" s="644">
        <f t="shared" si="158"/>
        <v>35</v>
      </c>
      <c r="C379" s="645" t="str">
        <f t="shared" ca="1" si="146"/>
        <v/>
      </c>
      <c r="D379" s="646" t="str">
        <f ca="1">IF(C379="","",Voorblad!$X$90)</f>
        <v/>
      </c>
    </row>
    <row r="380" spans="1:4" x14ac:dyDescent="0.25">
      <c r="A380" s="643" t="str">
        <f t="shared" si="157"/>
        <v>K</v>
      </c>
      <c r="B380" s="644">
        <f>B379+2</f>
        <v>37</v>
      </c>
      <c r="C380" s="645" t="str">
        <f t="shared" ca="1" si="146"/>
        <v/>
      </c>
      <c r="D380" s="646" t="str">
        <f ca="1">IF(C380="","",Voorblad!$X$91)</f>
        <v/>
      </c>
    </row>
    <row r="381" spans="1:4" x14ac:dyDescent="0.25">
      <c r="A381" s="643" t="str">
        <f>A380</f>
        <v>K</v>
      </c>
      <c r="B381" s="644">
        <f>B380+1</f>
        <v>38</v>
      </c>
      <c r="C381" s="645" t="str">
        <f t="shared" ca="1" si="146"/>
        <v/>
      </c>
      <c r="D381" s="646" t="str">
        <f ca="1">IF(C381="","",Voorblad!$X$92)</f>
        <v/>
      </c>
    </row>
    <row r="382" spans="1:4" x14ac:dyDescent="0.25">
      <c r="A382" s="643" t="str">
        <f t="shared" ref="A382:A384" si="159">A381</f>
        <v>K</v>
      </c>
      <c r="B382" s="644">
        <f t="shared" ref="B382:B383" si="160">B381+1</f>
        <v>39</v>
      </c>
      <c r="C382" s="645" t="str">
        <f t="shared" ca="1" si="146"/>
        <v/>
      </c>
      <c r="D382" s="646" t="str">
        <f ca="1">IF(C382="","",Voorblad!$X$93)</f>
        <v/>
      </c>
    </row>
    <row r="383" spans="1:4" x14ac:dyDescent="0.25">
      <c r="A383" s="643" t="str">
        <f t="shared" si="159"/>
        <v>K</v>
      </c>
      <c r="B383" s="644">
        <f t="shared" si="160"/>
        <v>40</v>
      </c>
      <c r="C383" s="645" t="str">
        <f t="shared" ca="1" si="146"/>
        <v/>
      </c>
      <c r="D383" s="646" t="str">
        <f ca="1">IF(C383="","",Voorblad!$X$94)</f>
        <v/>
      </c>
    </row>
    <row r="384" spans="1:4" x14ac:dyDescent="0.25">
      <c r="A384" s="643" t="str">
        <f t="shared" si="159"/>
        <v>K</v>
      </c>
      <c r="B384" s="644">
        <f>B383+2</f>
        <v>42</v>
      </c>
      <c r="C384" s="645" t="str">
        <f t="shared" ca="1" si="146"/>
        <v/>
      </c>
      <c r="D384" s="646" t="str">
        <f ca="1">IF(C384="","",Voorblad!$X$95)</f>
        <v/>
      </c>
    </row>
    <row r="385" spans="1:4" x14ac:dyDescent="0.25">
      <c r="A385" s="643" t="str">
        <f>A384</f>
        <v>K</v>
      </c>
      <c r="B385" s="644">
        <f>B384+1</f>
        <v>43</v>
      </c>
      <c r="C385" s="645" t="str">
        <f t="shared" ca="1" si="146"/>
        <v/>
      </c>
      <c r="D385" s="646" t="str">
        <f ca="1">IF(C385="","",Voorblad!$X$96)</f>
        <v/>
      </c>
    </row>
    <row r="386" spans="1:4" x14ac:dyDescent="0.25">
      <c r="A386" s="643" t="str">
        <f t="shared" ref="A386:A387" si="161">A385</f>
        <v>K</v>
      </c>
      <c r="B386" s="644">
        <f t="shared" ref="B386:B387" si="162">B385+1</f>
        <v>44</v>
      </c>
      <c r="C386" s="645" t="str">
        <f t="shared" ca="1" si="146"/>
        <v/>
      </c>
      <c r="D386" s="646" t="str">
        <f ca="1">IF(C386="","",Voorblad!$X$97)</f>
        <v/>
      </c>
    </row>
    <row r="387" spans="1:4" x14ac:dyDescent="0.25">
      <c r="A387" s="647" t="str">
        <f t="shared" si="161"/>
        <v>K</v>
      </c>
      <c r="B387" s="648">
        <f t="shared" si="162"/>
        <v>45</v>
      </c>
      <c r="C387" s="649" t="str">
        <f t="shared" ca="1" si="146"/>
        <v/>
      </c>
      <c r="D387" s="650" t="str">
        <f ca="1">IF(C387="","",Voorblad!X$98)</f>
        <v/>
      </c>
    </row>
    <row r="388" spans="1:4" x14ac:dyDescent="0.25">
      <c r="A388" s="627" t="str">
        <f>CHAR(CODE(A356)+1)</f>
        <v>L</v>
      </c>
      <c r="B388" s="628">
        <v>7</v>
      </c>
      <c r="C388" s="629" t="str">
        <f t="shared" ca="1" si="146"/>
        <v/>
      </c>
      <c r="D388" s="630" t="str">
        <f ca="1">IF(C388="","",Voorblad!$X$67)</f>
        <v/>
      </c>
    </row>
    <row r="389" spans="1:4" x14ac:dyDescent="0.25">
      <c r="A389" s="631" t="str">
        <f>A388</f>
        <v>L</v>
      </c>
      <c r="B389" s="632">
        <f>B388+1</f>
        <v>8</v>
      </c>
      <c r="C389" s="633" t="str">
        <f t="shared" ca="1" si="146"/>
        <v/>
      </c>
      <c r="D389" s="634" t="str">
        <f ca="1">IF(C389="","",Voorblad!$X$68)</f>
        <v/>
      </c>
    </row>
    <row r="390" spans="1:4" x14ac:dyDescent="0.25">
      <c r="A390" s="631" t="str">
        <f t="shared" ref="A390:A392" si="163">A389</f>
        <v>L</v>
      </c>
      <c r="B390" s="632">
        <f t="shared" ref="B390:B391" si="164">B389+1</f>
        <v>9</v>
      </c>
      <c r="C390" s="633" t="str">
        <f t="shared" ca="1" si="146"/>
        <v/>
      </c>
      <c r="D390" s="634" t="str">
        <f ca="1">IF(C390="","",Voorblad!$X$69)</f>
        <v/>
      </c>
    </row>
    <row r="391" spans="1:4" x14ac:dyDescent="0.25">
      <c r="A391" s="631" t="str">
        <f t="shared" si="163"/>
        <v>L</v>
      </c>
      <c r="B391" s="632">
        <f t="shared" si="164"/>
        <v>10</v>
      </c>
      <c r="C391" s="633" t="str">
        <f t="shared" ca="1" si="146"/>
        <v/>
      </c>
      <c r="D391" s="634" t="str">
        <f ca="1">IF(C391="","",Voorblad!$X$70)</f>
        <v/>
      </c>
    </row>
    <row r="392" spans="1:4" x14ac:dyDescent="0.25">
      <c r="A392" s="631" t="str">
        <f t="shared" si="163"/>
        <v>L</v>
      </c>
      <c r="B392" s="632">
        <f>B391+2</f>
        <v>12</v>
      </c>
      <c r="C392" s="633" t="str">
        <f t="shared" ca="1" si="146"/>
        <v/>
      </c>
      <c r="D392" s="634" t="str">
        <f ca="1">IF(C392="","",Voorblad!$X$71)</f>
        <v/>
      </c>
    </row>
    <row r="393" spans="1:4" x14ac:dyDescent="0.25">
      <c r="A393" s="631" t="str">
        <f>A392</f>
        <v>L</v>
      </c>
      <c r="B393" s="632">
        <f>B392+1</f>
        <v>13</v>
      </c>
      <c r="C393" s="633" t="str">
        <f t="shared" ca="1" si="146"/>
        <v/>
      </c>
      <c r="D393" s="634" t="str">
        <f ca="1">IF(C393="","",Voorblad!$X$72)</f>
        <v/>
      </c>
    </row>
    <row r="394" spans="1:4" x14ac:dyDescent="0.25">
      <c r="A394" s="631" t="str">
        <f t="shared" ref="A394:A396" si="165">A393</f>
        <v>L</v>
      </c>
      <c r="B394" s="632">
        <f t="shared" ref="B394:B395" si="166">B393+1</f>
        <v>14</v>
      </c>
      <c r="C394" s="633" t="str">
        <f t="shared" ca="1" si="146"/>
        <v/>
      </c>
      <c r="D394" s="634" t="str">
        <f ca="1">IF(C394="","",Voorblad!$X$73)</f>
        <v/>
      </c>
    </row>
    <row r="395" spans="1:4" x14ac:dyDescent="0.25">
      <c r="A395" s="631" t="str">
        <f t="shared" si="165"/>
        <v>L</v>
      </c>
      <c r="B395" s="632">
        <f t="shared" si="166"/>
        <v>15</v>
      </c>
      <c r="C395" s="633" t="str">
        <f t="shared" ca="1" si="146"/>
        <v/>
      </c>
      <c r="D395" s="634" t="str">
        <f ca="1">IF(C395="","",Voorblad!$X$74)</f>
        <v/>
      </c>
    </row>
    <row r="396" spans="1:4" x14ac:dyDescent="0.25">
      <c r="A396" s="631" t="str">
        <f t="shared" si="165"/>
        <v>L</v>
      </c>
      <c r="B396" s="632">
        <f>B395+2</f>
        <v>17</v>
      </c>
      <c r="C396" s="633" t="str">
        <f t="shared" ca="1" si="146"/>
        <v/>
      </c>
      <c r="D396" s="634" t="str">
        <f ca="1">IF(C396="","",Voorblad!$X$75)</f>
        <v/>
      </c>
    </row>
    <row r="397" spans="1:4" x14ac:dyDescent="0.25">
      <c r="A397" s="631" t="str">
        <f>A396</f>
        <v>L</v>
      </c>
      <c r="B397" s="632">
        <f>B396+1</f>
        <v>18</v>
      </c>
      <c r="C397" s="633" t="str">
        <f t="shared" ca="1" si="146"/>
        <v/>
      </c>
      <c r="D397" s="634" t="str">
        <f ca="1">IF(C397="","",Voorblad!$X$76)</f>
        <v/>
      </c>
    </row>
    <row r="398" spans="1:4" x14ac:dyDescent="0.25">
      <c r="A398" s="631" t="str">
        <f t="shared" ref="A398:A400" si="167">A397</f>
        <v>L</v>
      </c>
      <c r="B398" s="632">
        <f t="shared" ref="B398:B399" si="168">B397+1</f>
        <v>19</v>
      </c>
      <c r="C398" s="633" t="str">
        <f t="shared" ca="1" si="146"/>
        <v/>
      </c>
      <c r="D398" s="634" t="str">
        <f ca="1">IF(C398="","",Voorblad!$X$77)</f>
        <v/>
      </c>
    </row>
    <row r="399" spans="1:4" x14ac:dyDescent="0.25">
      <c r="A399" s="631" t="str">
        <f t="shared" si="167"/>
        <v>L</v>
      </c>
      <c r="B399" s="632">
        <f t="shared" si="168"/>
        <v>20</v>
      </c>
      <c r="C399" s="633" t="str">
        <f t="shared" ca="1" si="146"/>
        <v/>
      </c>
      <c r="D399" s="634" t="str">
        <f ca="1">IF(C399="","",Voorblad!$X$78)</f>
        <v/>
      </c>
    </row>
    <row r="400" spans="1:4" x14ac:dyDescent="0.25">
      <c r="A400" s="631" t="str">
        <f t="shared" si="167"/>
        <v>L</v>
      </c>
      <c r="B400" s="632">
        <f>B399+2</f>
        <v>22</v>
      </c>
      <c r="C400" s="633" t="str">
        <f t="shared" ca="1" si="146"/>
        <v/>
      </c>
      <c r="D400" s="634" t="str">
        <f ca="1">IF(C400="","",Voorblad!$X$79)</f>
        <v/>
      </c>
    </row>
    <row r="401" spans="1:4" x14ac:dyDescent="0.25">
      <c r="A401" s="631" t="str">
        <f>A400</f>
        <v>L</v>
      </c>
      <c r="B401" s="632">
        <f>B400+1</f>
        <v>23</v>
      </c>
      <c r="C401" s="633" t="str">
        <f t="shared" ca="1" si="146"/>
        <v/>
      </c>
      <c r="D401" s="634" t="str">
        <f ca="1">IF(C401="","",Voorblad!$X$80)</f>
        <v/>
      </c>
    </row>
    <row r="402" spans="1:4" x14ac:dyDescent="0.25">
      <c r="A402" s="631" t="str">
        <f t="shared" ref="A402:A404" si="169">A401</f>
        <v>L</v>
      </c>
      <c r="B402" s="632">
        <f t="shared" ref="B402:B403" si="170">B401+1</f>
        <v>24</v>
      </c>
      <c r="C402" s="633" t="str">
        <f t="shared" ca="1" si="146"/>
        <v/>
      </c>
      <c r="D402" s="634" t="str">
        <f ca="1">IF(C402="","",Voorblad!$X$81)</f>
        <v/>
      </c>
    </row>
    <row r="403" spans="1:4" x14ac:dyDescent="0.25">
      <c r="A403" s="631" t="str">
        <f t="shared" si="169"/>
        <v>L</v>
      </c>
      <c r="B403" s="632">
        <f t="shared" si="170"/>
        <v>25</v>
      </c>
      <c r="C403" s="633" t="str">
        <f t="shared" ca="1" si="146"/>
        <v/>
      </c>
      <c r="D403" s="634" t="str">
        <f ca="1">IF(C403="","",Voorblad!$X$82)</f>
        <v/>
      </c>
    </row>
    <row r="404" spans="1:4" x14ac:dyDescent="0.25">
      <c r="A404" s="631" t="str">
        <f t="shared" si="169"/>
        <v>L</v>
      </c>
      <c r="B404" s="632">
        <f>B403+2</f>
        <v>27</v>
      </c>
      <c r="C404" s="633" t="str">
        <f t="shared" ca="1" si="146"/>
        <v/>
      </c>
      <c r="D404" s="634" t="str">
        <f ca="1">IF(C404="","",Voorblad!$X$83)</f>
        <v/>
      </c>
    </row>
    <row r="405" spans="1:4" x14ac:dyDescent="0.25">
      <c r="A405" s="631" t="str">
        <f>A404</f>
        <v>L</v>
      </c>
      <c r="B405" s="632">
        <f>B404+1</f>
        <v>28</v>
      </c>
      <c r="C405" s="633" t="str">
        <f t="shared" ca="1" si="146"/>
        <v/>
      </c>
      <c r="D405" s="634" t="str">
        <f ca="1">IF(C405="","",Voorblad!$X$84)</f>
        <v/>
      </c>
    </row>
    <row r="406" spans="1:4" x14ac:dyDescent="0.25">
      <c r="A406" s="631" t="str">
        <f t="shared" ref="A406:A408" si="171">A405</f>
        <v>L</v>
      </c>
      <c r="B406" s="632">
        <f t="shared" ref="B406:B407" si="172">B405+1</f>
        <v>29</v>
      </c>
      <c r="C406" s="633" t="str">
        <f t="shared" ca="1" si="146"/>
        <v/>
      </c>
      <c r="D406" s="634" t="str">
        <f ca="1">IF(C406="","",Voorblad!$X$85)</f>
        <v/>
      </c>
    </row>
    <row r="407" spans="1:4" x14ac:dyDescent="0.25">
      <c r="A407" s="631" t="str">
        <f t="shared" si="171"/>
        <v>L</v>
      </c>
      <c r="B407" s="632">
        <f t="shared" si="172"/>
        <v>30</v>
      </c>
      <c r="C407" s="633" t="str">
        <f t="shared" ca="1" si="146"/>
        <v/>
      </c>
      <c r="D407" s="634" t="str">
        <f ca="1">IF(C407="","",Voorblad!$X$86)</f>
        <v/>
      </c>
    </row>
    <row r="408" spans="1:4" x14ac:dyDescent="0.25">
      <c r="A408" s="631" t="str">
        <f t="shared" si="171"/>
        <v>L</v>
      </c>
      <c r="B408" s="632">
        <f>B407+2</f>
        <v>32</v>
      </c>
      <c r="C408" s="633" t="str">
        <f t="shared" ca="1" si="146"/>
        <v/>
      </c>
      <c r="D408" s="634" t="str">
        <f ca="1">IF(C408="","",Voorblad!$X$87)</f>
        <v/>
      </c>
    </row>
    <row r="409" spans="1:4" x14ac:dyDescent="0.25">
      <c r="A409" s="631" t="str">
        <f>A408</f>
        <v>L</v>
      </c>
      <c r="B409" s="632">
        <f>B408+1</f>
        <v>33</v>
      </c>
      <c r="C409" s="633" t="str">
        <f t="shared" ca="1" si="146"/>
        <v/>
      </c>
      <c r="D409" s="634" t="str">
        <f ca="1">IF(C409="","",Voorblad!$X$88)</f>
        <v/>
      </c>
    </row>
    <row r="410" spans="1:4" x14ac:dyDescent="0.25">
      <c r="A410" s="631" t="str">
        <f t="shared" ref="A410:A412" si="173">A409</f>
        <v>L</v>
      </c>
      <c r="B410" s="632">
        <f t="shared" ref="B410:B411" si="174">B409+1</f>
        <v>34</v>
      </c>
      <c r="C410" s="633" t="str">
        <f t="shared" ca="1" si="146"/>
        <v/>
      </c>
      <c r="D410" s="634" t="str">
        <f ca="1">IF(C410="","",Voorblad!$X$89)</f>
        <v/>
      </c>
    </row>
    <row r="411" spans="1:4" x14ac:dyDescent="0.25">
      <c r="A411" s="631" t="str">
        <f t="shared" si="173"/>
        <v>L</v>
      </c>
      <c r="B411" s="632">
        <f t="shared" si="174"/>
        <v>35</v>
      </c>
      <c r="C411" s="633" t="str">
        <f t="shared" ca="1" si="146"/>
        <v/>
      </c>
      <c r="D411" s="634" t="str">
        <f ca="1">IF(C411="","",Voorblad!$X$90)</f>
        <v/>
      </c>
    </row>
    <row r="412" spans="1:4" x14ac:dyDescent="0.25">
      <c r="A412" s="631" t="str">
        <f t="shared" si="173"/>
        <v>L</v>
      </c>
      <c r="B412" s="632">
        <f>B411+2</f>
        <v>37</v>
      </c>
      <c r="C412" s="633" t="str">
        <f t="shared" ca="1" si="146"/>
        <v/>
      </c>
      <c r="D412" s="634" t="str">
        <f ca="1">IF(C412="","",Voorblad!$X$91)</f>
        <v/>
      </c>
    </row>
    <row r="413" spans="1:4" x14ac:dyDescent="0.25">
      <c r="A413" s="631" t="str">
        <f>A412</f>
        <v>L</v>
      </c>
      <c r="B413" s="632">
        <f>B412+1</f>
        <v>38</v>
      </c>
      <c r="C413" s="633" t="str">
        <f t="shared" ca="1" si="146"/>
        <v/>
      </c>
      <c r="D413" s="634" t="str">
        <f ca="1">IF(C413="","",Voorblad!$X$92)</f>
        <v/>
      </c>
    </row>
    <row r="414" spans="1:4" x14ac:dyDescent="0.25">
      <c r="A414" s="631" t="str">
        <f t="shared" ref="A414:A416" si="175">A413</f>
        <v>L</v>
      </c>
      <c r="B414" s="632">
        <f t="shared" ref="B414:B415" si="176">B413+1</f>
        <v>39</v>
      </c>
      <c r="C414" s="633" t="str">
        <f t="shared" ca="1" si="146"/>
        <v/>
      </c>
      <c r="D414" s="634" t="str">
        <f ca="1">IF(C414="","",Voorblad!$X$93)</f>
        <v/>
      </c>
    </row>
    <row r="415" spans="1:4" x14ac:dyDescent="0.25">
      <c r="A415" s="631" t="str">
        <f t="shared" si="175"/>
        <v>L</v>
      </c>
      <c r="B415" s="632">
        <f t="shared" si="176"/>
        <v>40</v>
      </c>
      <c r="C415" s="633" t="str">
        <f t="shared" ca="1" si="146"/>
        <v/>
      </c>
      <c r="D415" s="634" t="str">
        <f ca="1">IF(C415="","",Voorblad!$X$94)</f>
        <v/>
      </c>
    </row>
    <row r="416" spans="1:4" x14ac:dyDescent="0.25">
      <c r="A416" s="631" t="str">
        <f t="shared" si="175"/>
        <v>L</v>
      </c>
      <c r="B416" s="632">
        <f>B415+2</f>
        <v>42</v>
      </c>
      <c r="C416" s="633" t="str">
        <f t="shared" ca="1" si="146"/>
        <v/>
      </c>
      <c r="D416" s="634" t="str">
        <f ca="1">IF(C416="","",Voorblad!$X$95)</f>
        <v/>
      </c>
    </row>
    <row r="417" spans="1:4" x14ac:dyDescent="0.25">
      <c r="A417" s="631" t="str">
        <f>A416</f>
        <v>L</v>
      </c>
      <c r="B417" s="632">
        <f>B416+1</f>
        <v>43</v>
      </c>
      <c r="C417" s="633" t="str">
        <f t="shared" ca="1" si="146"/>
        <v/>
      </c>
      <c r="D417" s="634" t="str">
        <f ca="1">IF(C417="","",Voorblad!$X$96)</f>
        <v/>
      </c>
    </row>
    <row r="418" spans="1:4" x14ac:dyDescent="0.25">
      <c r="A418" s="631" t="str">
        <f t="shared" ref="A418:A419" si="177">A417</f>
        <v>L</v>
      </c>
      <c r="B418" s="632">
        <f t="shared" ref="B418:B419" si="178">B417+1</f>
        <v>44</v>
      </c>
      <c r="C418" s="633" t="str">
        <f t="shared" ca="1" si="146"/>
        <v/>
      </c>
      <c r="D418" s="634" t="str">
        <f ca="1">IF(C418="","",Voorblad!$X$97)</f>
        <v/>
      </c>
    </row>
    <row r="419" spans="1:4" x14ac:dyDescent="0.25">
      <c r="A419" s="635" t="str">
        <f t="shared" si="177"/>
        <v>L</v>
      </c>
      <c r="B419" s="636">
        <f t="shared" si="178"/>
        <v>45</v>
      </c>
      <c r="C419" s="637" t="str">
        <f t="shared" ca="1" si="146"/>
        <v/>
      </c>
      <c r="D419" s="638" t="str">
        <f ca="1">IF(C419="","",Voorblad!X$98)</f>
        <v/>
      </c>
    </row>
  </sheetData>
  <mergeCells count="45">
    <mergeCell ref="A90:D97"/>
    <mergeCell ref="C98:D99"/>
    <mergeCell ref="F98:F99"/>
    <mergeCell ref="E98:E99"/>
    <mergeCell ref="G98:G99"/>
    <mergeCell ref="E92:F97"/>
    <mergeCell ref="E90:F91"/>
    <mergeCell ref="H98:H99"/>
    <mergeCell ref="L90:L91"/>
    <mergeCell ref="I98:I99"/>
    <mergeCell ref="J98:J99"/>
    <mergeCell ref="G92:G97"/>
    <mergeCell ref="H92:H97"/>
    <mergeCell ref="I92:I97"/>
    <mergeCell ref="J92:J97"/>
    <mergeCell ref="G90:G91"/>
    <mergeCell ref="H90:H91"/>
    <mergeCell ref="I90:I91"/>
    <mergeCell ref="J90:J91"/>
    <mergeCell ref="K90:K91"/>
    <mergeCell ref="K98:K99"/>
    <mergeCell ref="L98:L99"/>
    <mergeCell ref="K92:K97"/>
    <mergeCell ref="M92:M97"/>
    <mergeCell ref="N92:N97"/>
    <mergeCell ref="O92:O97"/>
    <mergeCell ref="P92:P97"/>
    <mergeCell ref="M98:M99"/>
    <mergeCell ref="N98:N99"/>
    <mergeCell ref="L92:L97"/>
    <mergeCell ref="S98:S99"/>
    <mergeCell ref="Q98:Q99"/>
    <mergeCell ref="R98:R99"/>
    <mergeCell ref="S90:S91"/>
    <mergeCell ref="S92:S97"/>
    <mergeCell ref="Q90:Q91"/>
    <mergeCell ref="R90:R91"/>
    <mergeCell ref="Q92:Q97"/>
    <mergeCell ref="R92:R97"/>
    <mergeCell ref="O90:O91"/>
    <mergeCell ref="P90:P91"/>
    <mergeCell ref="O98:O99"/>
    <mergeCell ref="P98:P99"/>
    <mergeCell ref="M90:M91"/>
    <mergeCell ref="N90:N9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FFC000"/>
  </sheetPr>
  <dimension ref="A1:F280"/>
  <sheetViews>
    <sheetView zoomScaleNormal="100" workbookViewId="0"/>
  </sheetViews>
  <sheetFormatPr defaultColWidth="9" defaultRowHeight="15" x14ac:dyDescent="0.25"/>
  <cols>
    <col min="1" max="1" width="8.7109375" style="566" customWidth="1"/>
    <col min="2" max="2" width="10.7109375" style="566" customWidth="1"/>
    <col min="3"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863</v>
      </c>
      <c r="B5" s="783"/>
    </row>
    <row r="6" spans="1:6" s="565" customFormat="1" x14ac:dyDescent="0.25">
      <c r="A6" s="564" t="str">
        <f>"03-C-001"</f>
        <v>03-C-001</v>
      </c>
      <c r="B6" s="784" t="str">
        <f t="shared" ref="B6:B29" ca="1" si="0">TRIM(INDIRECT(CHAR(64+$C$2)&amp;ROW()))</f>
        <v>Het Algemeen Reglement</v>
      </c>
      <c r="C6" s="565" t="s">
        <v>1168</v>
      </c>
      <c r="D6" s="565" t="s">
        <v>621</v>
      </c>
      <c r="E6" s="565" t="s">
        <v>1267</v>
      </c>
      <c r="F6" s="565" t="s">
        <v>1588</v>
      </c>
    </row>
    <row r="7" spans="1:6" s="538" customFormat="1" x14ac:dyDescent="0.25">
      <c r="A7" s="549" t="str">
        <f t="shared" ref="A7:A74" si="1">LEFT(A6,5)&amp;RIGHT("000"&amp;RIGHT(A6,3)*1+1,3)</f>
        <v>03-C-002</v>
      </c>
      <c r="B7" s="788" t="str">
        <f t="shared" ca="1" si="0"/>
        <v>(pagina #)</v>
      </c>
      <c r="C7" s="538" t="s">
        <v>661</v>
      </c>
      <c r="D7" s="538" t="s">
        <v>662</v>
      </c>
      <c r="E7" s="538" t="s">
        <v>1268</v>
      </c>
      <c r="F7" s="538" t="s">
        <v>1589</v>
      </c>
    </row>
    <row r="8" spans="1:6" s="565" customFormat="1" x14ac:dyDescent="0.25">
      <c r="A8" s="564" t="str">
        <f t="shared" si="1"/>
        <v>03-C-003</v>
      </c>
      <c r="B8" s="784" t="str">
        <f t="shared" ca="1" si="0"/>
        <v>De Regels</v>
      </c>
      <c r="C8" s="565" t="s">
        <v>29</v>
      </c>
      <c r="D8" s="565" t="s">
        <v>620</v>
      </c>
      <c r="E8" s="565" t="s">
        <v>1269</v>
      </c>
      <c r="F8" s="565" t="s">
        <v>1590</v>
      </c>
    </row>
    <row r="9" spans="1:6" s="538" customFormat="1" x14ac:dyDescent="0.25">
      <c r="A9" s="549" t="str">
        <f t="shared" si="1"/>
        <v>03-C-004</v>
      </c>
      <c r="B9" s="788" t="str">
        <f t="shared" ca="1" si="0"/>
        <v>De Deelnamecode en/of het Deelname Formulier dienen voor ### ingeleverd te worden bij $$$ (&amp;&amp;&amp;).</v>
      </c>
      <c r="C9" s="538" t="s">
        <v>2166</v>
      </c>
      <c r="D9" s="538" t="s">
        <v>624</v>
      </c>
      <c r="E9" s="538" t="s">
        <v>1270</v>
      </c>
      <c r="F9" s="538" t="s">
        <v>1591</v>
      </c>
    </row>
    <row r="10" spans="1:6" s="537" customFormat="1" x14ac:dyDescent="0.25">
      <c r="A10" s="550" t="str">
        <f t="shared" si="1"/>
        <v>03-C-005</v>
      </c>
      <c r="B10" s="787" t="str">
        <f t="shared" ca="1" si="0"/>
        <v>De Deelnamecode en/of het Deelname Formulier dienen voor ### gemaild te worden naar &amp;&amp;&amp;.</v>
      </c>
      <c r="C10" s="537" t="s">
        <v>2167</v>
      </c>
      <c r="D10" s="537" t="s">
        <v>658</v>
      </c>
      <c r="E10" s="537" t="s">
        <v>1271</v>
      </c>
      <c r="F10" s="537" t="s">
        <v>1592</v>
      </c>
    </row>
    <row r="11" spans="1:6" s="541" customFormat="1" x14ac:dyDescent="0.25">
      <c r="A11" s="539" t="str">
        <f t="shared" si="1"/>
        <v>03-C-006</v>
      </c>
      <c r="B11" s="791" t="str">
        <f t="shared" ca="1" si="0"/>
        <v>Ook de inleg dient voor de sluitingsdatum betaald te worden.</v>
      </c>
      <c r="C11" s="541" t="s">
        <v>622</v>
      </c>
      <c r="D11" s="541" t="s">
        <v>625</v>
      </c>
      <c r="E11" s="541" t="s">
        <v>1272</v>
      </c>
      <c r="F11" s="541" t="s">
        <v>1593</v>
      </c>
    </row>
    <row r="12" spans="1:6" s="544" customFormat="1" x14ac:dyDescent="0.25">
      <c r="A12" s="542" t="str">
        <f t="shared" si="1"/>
        <v>03-C-007</v>
      </c>
      <c r="B12" s="790" t="str">
        <f t="shared" ca="1" si="0"/>
        <v>Wanneer dit niet tijdig is gebeurd wordt de deelname ongeldig verklaard.</v>
      </c>
      <c r="C12" s="544" t="s">
        <v>623</v>
      </c>
      <c r="D12" s="544" t="s">
        <v>626</v>
      </c>
      <c r="E12" s="544" t="s">
        <v>1273</v>
      </c>
      <c r="F12" s="544" t="s">
        <v>1594</v>
      </c>
    </row>
    <row r="13" spans="1:6" s="541" customFormat="1" x14ac:dyDescent="0.25">
      <c r="A13" s="549" t="str">
        <f t="shared" si="1"/>
        <v>03-C-008</v>
      </c>
      <c r="B13" s="788" t="str">
        <f t="shared" ca="1" si="0"/>
        <v>Na de start van de openingsceremonie is het niet meer mogelijk om uw voorspellingen aan te passen.</v>
      </c>
      <c r="C13" s="538" t="s">
        <v>804</v>
      </c>
      <c r="D13" s="538" t="s">
        <v>805</v>
      </c>
      <c r="E13" s="538" t="s">
        <v>1274</v>
      </c>
      <c r="F13" s="538" t="s">
        <v>1595</v>
      </c>
    </row>
    <row r="14" spans="1:6" s="544" customFormat="1" x14ac:dyDescent="0.25">
      <c r="A14" s="542" t="str">
        <f t="shared" si="1"/>
        <v>03-C-009</v>
      </c>
      <c r="B14" s="790" t="str">
        <f t="shared" ca="1" si="0"/>
        <v>Voor aanvang van de eerste 1/8 finale is het eenmalige mogelijk om uw voorspellingen voor de finalewedstrijden aan te passen.</v>
      </c>
      <c r="C14" s="544" t="s">
        <v>806</v>
      </c>
      <c r="D14" s="544" t="s">
        <v>876</v>
      </c>
      <c r="E14" s="544" t="s">
        <v>1275</v>
      </c>
      <c r="F14" s="544" t="s">
        <v>1596</v>
      </c>
    </row>
    <row r="15" spans="1:6" s="538" customFormat="1" x14ac:dyDescent="0.25">
      <c r="A15" s="549" t="str">
        <f t="shared" si="1"/>
        <v>03-C-010</v>
      </c>
      <c r="B15" s="788" t="str">
        <f t="shared" ca="1" si="0"/>
        <v>Bij deze pool is deelname gratis en is er dus geen inleg verplicht om mee te spelen.</v>
      </c>
      <c r="C15" s="538" t="s">
        <v>628</v>
      </c>
      <c r="D15" s="538" t="s">
        <v>627</v>
      </c>
      <c r="E15" s="538" t="s">
        <v>1276</v>
      </c>
      <c r="F15" s="538" t="s">
        <v>1597</v>
      </c>
    </row>
    <row r="16" spans="1:6" s="537" customFormat="1" x14ac:dyDescent="0.25">
      <c r="A16" s="550" t="str">
        <f t="shared" si="1"/>
        <v>03-C-011</v>
      </c>
      <c r="B16" s="787" t="str">
        <f t="shared" ca="1" si="0"/>
        <v>Ondanks de prijzenpot is deelname aan deze pool gratis</v>
      </c>
      <c r="C16" s="537" t="s">
        <v>802</v>
      </c>
      <c r="D16" s="537" t="s">
        <v>803</v>
      </c>
      <c r="E16" s="537" t="s">
        <v>1277</v>
      </c>
      <c r="F16" s="537" t="s">
        <v>1598</v>
      </c>
    </row>
    <row r="17" spans="1:6" s="538" customFormat="1" x14ac:dyDescent="0.25">
      <c r="A17" s="549" t="str">
        <f t="shared" si="1"/>
        <v>03-C-012</v>
      </c>
      <c r="B17" s="788" t="str">
        <f t="shared" ca="1" si="0"/>
        <v>Deze pool heeft voor deelname een verplichte inleg van €###</v>
      </c>
      <c r="C17" s="538" t="s">
        <v>660</v>
      </c>
      <c r="D17" s="538" t="s">
        <v>659</v>
      </c>
      <c r="E17" s="538" t="s">
        <v>1278</v>
      </c>
      <c r="F17" s="538" t="s">
        <v>1599</v>
      </c>
    </row>
    <row r="18" spans="1:6" s="537" customFormat="1" x14ac:dyDescent="0.25">
      <c r="A18" s="550" t="str">
        <f t="shared" si="1"/>
        <v>03-C-013</v>
      </c>
      <c r="B18" s="787" t="str">
        <f t="shared" ca="1" si="0"/>
        <v>Deze pool heeft voor deelname een optionele inleg van €###</v>
      </c>
      <c r="C18" s="537" t="s">
        <v>800</v>
      </c>
      <c r="D18" s="537" t="s">
        <v>801</v>
      </c>
      <c r="E18" s="537" t="s">
        <v>1279</v>
      </c>
      <c r="F18" s="537" t="s">
        <v>1600</v>
      </c>
    </row>
    <row r="19" spans="1:6" s="538" customFormat="1" x14ac:dyDescent="0.25">
      <c r="A19" s="549" t="str">
        <f t="shared" si="1"/>
        <v>03-C-014</v>
      </c>
      <c r="B19" s="788" t="str">
        <f t="shared" ca="1" si="0"/>
        <v>(zie werkblad 'Prijzenpot' voor meer info).</v>
      </c>
      <c r="C19" s="538" t="s">
        <v>629</v>
      </c>
      <c r="D19" s="538" t="s">
        <v>715</v>
      </c>
      <c r="E19" s="538" t="s">
        <v>1280</v>
      </c>
      <c r="F19" s="538" t="s">
        <v>1601</v>
      </c>
    </row>
    <row r="20" spans="1:6" s="537" customFormat="1" x14ac:dyDescent="0.25">
      <c r="A20" s="550" t="str">
        <f t="shared" si="1"/>
        <v>03-C-015</v>
      </c>
      <c r="B20" s="787" t="str">
        <f t="shared" ca="1" si="0"/>
        <v>(zie de volgende pagina voor meer info).</v>
      </c>
      <c r="C20" s="537" t="s">
        <v>630</v>
      </c>
      <c r="D20" s="537" t="s">
        <v>631</v>
      </c>
      <c r="E20" s="537" t="s">
        <v>1281</v>
      </c>
      <c r="F20" s="537" t="s">
        <v>1602</v>
      </c>
    </row>
    <row r="21" spans="1:6" s="538" customFormat="1" x14ac:dyDescent="0.25">
      <c r="A21" s="549" t="str">
        <f t="shared" si="1"/>
        <v>03-C-016</v>
      </c>
      <c r="B21" s="788" t="str">
        <f t="shared" ca="1" si="0"/>
        <v>Het is wel toegestaan om als deelnemer meerdere deelname formulieren in te leveren.</v>
      </c>
      <c r="C21" s="538" t="s">
        <v>634</v>
      </c>
      <c r="D21" s="538" t="s">
        <v>632</v>
      </c>
      <c r="E21" s="538" t="s">
        <v>1282</v>
      </c>
      <c r="F21" s="538" t="s">
        <v>1603</v>
      </c>
    </row>
    <row r="22" spans="1:6" s="537" customFormat="1" x14ac:dyDescent="0.25">
      <c r="A22" s="550" t="str">
        <f t="shared" si="1"/>
        <v>03-C-017</v>
      </c>
      <c r="B22" s="787" t="str">
        <f t="shared" ca="1" si="0"/>
        <v>Het is niet toegestaan om als deelnemer meerdere deelname formulieren in te leveren.</v>
      </c>
      <c r="C22" s="537" t="s">
        <v>635</v>
      </c>
      <c r="D22" s="537" t="s">
        <v>633</v>
      </c>
      <c r="E22" s="537" t="s">
        <v>1283</v>
      </c>
      <c r="F22" s="537" t="s">
        <v>1604</v>
      </c>
    </row>
    <row r="23" spans="1:6" s="538" customFormat="1" x14ac:dyDescent="0.25">
      <c r="A23" s="549" t="str">
        <f t="shared" si="1"/>
        <v>03-C-018</v>
      </c>
      <c r="B23" s="788" t="str">
        <f t="shared" ca="1" si="0"/>
        <v>Het is niet mogelijk om uitslagen te voorspellen waarin één land meer dan 9 doelpunten maakt. Wanneer een land toch meer dan 9 doelpunten maakt tijdens één wedstrijd zal bij de uitslag 9 doelpunten genoteerd worden.</v>
      </c>
      <c r="C23" s="538" t="s">
        <v>636</v>
      </c>
      <c r="D23" s="538" t="s">
        <v>637</v>
      </c>
      <c r="E23" s="538" t="s">
        <v>1284</v>
      </c>
      <c r="F23" s="538" t="s">
        <v>1605</v>
      </c>
    </row>
    <row r="24" spans="1:6" s="537" customFormat="1" x14ac:dyDescent="0.25">
      <c r="A24" s="550" t="str">
        <f t="shared" si="1"/>
        <v>03-C-019</v>
      </c>
      <c r="B24" s="787" t="str">
        <f t="shared" ca="1" si="0"/>
        <v>Voor het voorspellen van de TOTO vult men een 1 in wanneer men denkt dat de thuisploeg zal winnen, een 2 als men denkt dat de uitploeg zal winnen en wanneer men een gelijkspel verwacht vult men een 3 in.</v>
      </c>
      <c r="C24" s="537" t="s">
        <v>271</v>
      </c>
      <c r="D24" s="537" t="s">
        <v>638</v>
      </c>
      <c r="E24" s="537" t="s">
        <v>1285</v>
      </c>
      <c r="F24" s="537" t="s">
        <v>1606</v>
      </c>
    </row>
    <row r="25" spans="1:6" s="538" customFormat="1" x14ac:dyDescent="0.25">
      <c r="A25" s="549" t="str">
        <f t="shared" si="1"/>
        <v>03-C-020</v>
      </c>
      <c r="B25" s="788" t="str">
        <f t="shared" ca="1" si="0"/>
        <v>In de finalewedstrijden wordt de uitslag aangehouden die bereikt is na het verstrijken van de reguliere speeltijd inclusief de blessuretijd.</v>
      </c>
      <c r="C25" s="538" t="s">
        <v>639</v>
      </c>
      <c r="D25" s="538" t="s">
        <v>877</v>
      </c>
      <c r="E25" s="538" t="s">
        <v>1286</v>
      </c>
      <c r="F25" s="538" t="s">
        <v>1607</v>
      </c>
    </row>
    <row r="26" spans="1:6" s="537" customFormat="1" x14ac:dyDescent="0.25">
      <c r="A26" s="550" t="str">
        <f t="shared" si="1"/>
        <v>03-C-021</v>
      </c>
      <c r="B26" s="787" t="str">
        <f t="shared" ca="1" si="0"/>
        <v>In de finalewedstrijden wordt de uitslag aangehouden die bereikt is na het verstrijken van de eventuele verlenging inclusief de blessuretijd.</v>
      </c>
      <c r="C26" s="537" t="s">
        <v>640</v>
      </c>
      <c r="D26" s="537" t="s">
        <v>884</v>
      </c>
      <c r="E26" s="537" t="s">
        <v>1287</v>
      </c>
      <c r="F26" s="537" t="s">
        <v>1851</v>
      </c>
    </row>
    <row r="27" spans="1:6" s="538" customFormat="1" x14ac:dyDescent="0.25">
      <c r="A27" s="549" t="str">
        <f t="shared" si="1"/>
        <v>03-C-022</v>
      </c>
      <c r="B27" s="788" t="str">
        <f t="shared" ca="1" si="0"/>
        <v>Een gelijkspel in de finalewedstrijden is dus ook mogelijk.</v>
      </c>
      <c r="C27" s="538" t="s">
        <v>641</v>
      </c>
      <c r="D27" s="538" t="s">
        <v>878</v>
      </c>
      <c r="E27" s="538" t="s">
        <v>1288</v>
      </c>
      <c r="F27" s="538" t="s">
        <v>1608</v>
      </c>
    </row>
    <row r="28" spans="1:6" s="537" customFormat="1" x14ac:dyDescent="0.25">
      <c r="A28" s="550" t="str">
        <f t="shared" si="1"/>
        <v>03-C-023</v>
      </c>
      <c r="B28" s="787" t="str">
        <f t="shared" ca="1" si="0"/>
        <v>In gevallen waar het reglement niet in voorziet, beslist de wedstrijdleiding.</v>
      </c>
      <c r="C28" s="537" t="s">
        <v>30</v>
      </c>
      <c r="D28" s="537" t="s">
        <v>642</v>
      </c>
      <c r="E28" s="537" t="s">
        <v>1289</v>
      </c>
      <c r="F28" s="537" t="s">
        <v>1609</v>
      </c>
    </row>
    <row r="29" spans="1:6" s="538" customFormat="1" x14ac:dyDescent="0.25">
      <c r="A29" s="549" t="str">
        <f t="shared" si="1"/>
        <v>03-C-024</v>
      </c>
      <c r="B29" s="788" t="str">
        <f t="shared" ca="1" si="0"/>
        <v>Door het inleveren van het deelname formulier gaat u akkoord met dit wedstrijdreglement.</v>
      </c>
      <c r="C29" s="538" t="s">
        <v>644</v>
      </c>
      <c r="D29" s="538" t="s">
        <v>643</v>
      </c>
      <c r="E29" s="538" t="s">
        <v>1290</v>
      </c>
      <c r="F29" s="538" t="s">
        <v>1610</v>
      </c>
    </row>
    <row r="30" spans="1:6" s="544" customFormat="1" x14ac:dyDescent="0.25">
      <c r="A30" s="542" t="str">
        <f t="shared" si="1"/>
        <v>03-C-025</v>
      </c>
      <c r="B30" s="790"/>
      <c r="F30" s="544" t="s">
        <v>322</v>
      </c>
    </row>
    <row r="31" spans="1:6" s="541" customFormat="1" x14ac:dyDescent="0.25">
      <c r="A31" s="539" t="str">
        <f t="shared" si="1"/>
        <v>03-C-026</v>
      </c>
      <c r="B31" s="788"/>
      <c r="F31" s="541" t="s">
        <v>322</v>
      </c>
    </row>
    <row r="32" spans="1:6" s="544" customFormat="1" x14ac:dyDescent="0.25">
      <c r="A32" s="542" t="str">
        <f t="shared" si="1"/>
        <v>03-C-027</v>
      </c>
      <c r="B32" s="787"/>
      <c r="F32" s="544" t="s">
        <v>322</v>
      </c>
    </row>
    <row r="33" spans="1:6" s="541" customFormat="1" x14ac:dyDescent="0.25">
      <c r="A33" s="539" t="str">
        <f t="shared" si="1"/>
        <v>03-C-028</v>
      </c>
      <c r="B33" s="791"/>
      <c r="F33" s="541" t="s">
        <v>322</v>
      </c>
    </row>
    <row r="34" spans="1:6" s="544" customFormat="1" x14ac:dyDescent="0.25">
      <c r="A34" s="542" t="str">
        <f t="shared" si="1"/>
        <v>03-C-029</v>
      </c>
      <c r="B34" s="790"/>
      <c r="F34" s="544" t="s">
        <v>322</v>
      </c>
    </row>
    <row r="35" spans="1:6" s="538" customFormat="1" x14ac:dyDescent="0.25">
      <c r="A35" s="549" t="str">
        <f t="shared" si="1"/>
        <v>03-C-030</v>
      </c>
      <c r="B35" s="788" t="str">
        <f t="shared" ref="B35:B46" ca="1" si="2">TRIM(INDIRECT(CHAR(64+$C$2)&amp;ROW()))</f>
        <v>januari</v>
      </c>
      <c r="C35" s="538" t="s">
        <v>51</v>
      </c>
      <c r="D35" s="538" t="s">
        <v>645</v>
      </c>
      <c r="E35" s="538" t="s">
        <v>1291</v>
      </c>
      <c r="F35" s="538" t="s">
        <v>1611</v>
      </c>
    </row>
    <row r="36" spans="1:6" s="537" customFormat="1" x14ac:dyDescent="0.25">
      <c r="A36" s="550" t="str">
        <f t="shared" si="1"/>
        <v>03-C-031</v>
      </c>
      <c r="B36" s="787" t="str">
        <f t="shared" ca="1" si="2"/>
        <v>februari</v>
      </c>
      <c r="C36" s="537" t="s">
        <v>52</v>
      </c>
      <c r="D36" s="537" t="s">
        <v>646</v>
      </c>
      <c r="E36" s="537" t="s">
        <v>1292</v>
      </c>
      <c r="F36" s="537" t="s">
        <v>1612</v>
      </c>
    </row>
    <row r="37" spans="1:6" s="538" customFormat="1" x14ac:dyDescent="0.25">
      <c r="A37" s="549" t="str">
        <f t="shared" si="1"/>
        <v>03-C-032</v>
      </c>
      <c r="B37" s="788" t="str">
        <f t="shared" ca="1" si="2"/>
        <v>maart</v>
      </c>
      <c r="C37" s="538" t="s">
        <v>53</v>
      </c>
      <c r="D37" s="538" t="s">
        <v>647</v>
      </c>
      <c r="E37" s="538" t="s">
        <v>1293</v>
      </c>
      <c r="F37" s="538" t="s">
        <v>1613</v>
      </c>
    </row>
    <row r="38" spans="1:6" s="537" customFormat="1" x14ac:dyDescent="0.25">
      <c r="A38" s="550" t="str">
        <f t="shared" si="1"/>
        <v>03-C-033</v>
      </c>
      <c r="B38" s="787" t="str">
        <f t="shared" ca="1" si="2"/>
        <v>april</v>
      </c>
      <c r="C38" s="537" t="s">
        <v>54</v>
      </c>
      <c r="D38" s="537" t="s">
        <v>648</v>
      </c>
      <c r="E38" s="537" t="s">
        <v>648</v>
      </c>
      <c r="F38" s="537" t="s">
        <v>648</v>
      </c>
    </row>
    <row r="39" spans="1:6" s="538" customFormat="1" x14ac:dyDescent="0.25">
      <c r="A39" s="549" t="str">
        <f t="shared" si="1"/>
        <v>03-C-034</v>
      </c>
      <c r="B39" s="788" t="str">
        <f t="shared" ca="1" si="2"/>
        <v>mei</v>
      </c>
      <c r="C39" s="538" t="s">
        <v>50</v>
      </c>
      <c r="D39" s="538" t="s">
        <v>649</v>
      </c>
      <c r="E39" s="538" t="s">
        <v>1294</v>
      </c>
      <c r="F39" s="538" t="s">
        <v>1614</v>
      </c>
    </row>
    <row r="40" spans="1:6" s="537" customFormat="1" x14ac:dyDescent="0.25">
      <c r="A40" s="550" t="str">
        <f t="shared" si="1"/>
        <v>03-C-035</v>
      </c>
      <c r="B40" s="787" t="str">
        <f t="shared" ca="1" si="2"/>
        <v>juni</v>
      </c>
      <c r="C40" s="537" t="s">
        <v>55</v>
      </c>
      <c r="D40" s="537" t="s">
        <v>650</v>
      </c>
      <c r="E40" s="537" t="s">
        <v>1295</v>
      </c>
      <c r="F40" s="537" t="s">
        <v>1295</v>
      </c>
    </row>
    <row r="41" spans="1:6" s="538" customFormat="1" x14ac:dyDescent="0.25">
      <c r="A41" s="549" t="str">
        <f t="shared" si="1"/>
        <v>03-C-036</v>
      </c>
      <c r="B41" s="788" t="str">
        <f t="shared" ca="1" si="2"/>
        <v>juli</v>
      </c>
      <c r="C41" s="538" t="s">
        <v>56</v>
      </c>
      <c r="D41" s="538" t="s">
        <v>651</v>
      </c>
      <c r="E41" s="538" t="s">
        <v>1296</v>
      </c>
      <c r="F41" s="538" t="s">
        <v>1296</v>
      </c>
    </row>
    <row r="42" spans="1:6" s="537" customFormat="1" x14ac:dyDescent="0.25">
      <c r="A42" s="550" t="str">
        <f t="shared" si="1"/>
        <v>03-C-037</v>
      </c>
      <c r="B42" s="787" t="str">
        <f t="shared" ca="1" si="2"/>
        <v>augustus</v>
      </c>
      <c r="C42" s="537" t="s">
        <v>57</v>
      </c>
      <c r="D42" s="537" t="s">
        <v>652</v>
      </c>
      <c r="E42" s="537" t="s">
        <v>652</v>
      </c>
      <c r="F42" s="537" t="s">
        <v>1615</v>
      </c>
    </row>
    <row r="43" spans="1:6" s="538" customFormat="1" x14ac:dyDescent="0.25">
      <c r="A43" s="549" t="str">
        <f t="shared" si="1"/>
        <v>03-C-038</v>
      </c>
      <c r="B43" s="788" t="str">
        <f t="shared" ca="1" si="2"/>
        <v>september</v>
      </c>
      <c r="C43" s="538" t="s">
        <v>58</v>
      </c>
      <c r="D43" s="538" t="s">
        <v>653</v>
      </c>
      <c r="E43" s="538" t="s">
        <v>653</v>
      </c>
      <c r="F43" s="538" t="s">
        <v>653</v>
      </c>
    </row>
    <row r="44" spans="1:6" s="537" customFormat="1" x14ac:dyDescent="0.25">
      <c r="A44" s="550" t="str">
        <f t="shared" si="1"/>
        <v>03-C-039</v>
      </c>
      <c r="B44" s="787" t="str">
        <f t="shared" ca="1" si="2"/>
        <v>oktober</v>
      </c>
      <c r="C44" s="537" t="s">
        <v>59</v>
      </c>
      <c r="D44" s="537" t="s">
        <v>654</v>
      </c>
      <c r="E44" s="537" t="s">
        <v>1297</v>
      </c>
      <c r="F44" s="537" t="s">
        <v>1297</v>
      </c>
    </row>
    <row r="45" spans="1:6" s="538" customFormat="1" x14ac:dyDescent="0.25">
      <c r="A45" s="549" t="str">
        <f t="shared" si="1"/>
        <v>03-C-040</v>
      </c>
      <c r="B45" s="788" t="str">
        <f t="shared" ca="1" si="2"/>
        <v>november</v>
      </c>
      <c r="C45" s="538" t="s">
        <v>60</v>
      </c>
      <c r="D45" s="538" t="s">
        <v>655</v>
      </c>
      <c r="E45" s="538" t="s">
        <v>655</v>
      </c>
      <c r="F45" s="538" t="s">
        <v>655</v>
      </c>
    </row>
    <row r="46" spans="1:6" s="537" customFormat="1" x14ac:dyDescent="0.25">
      <c r="A46" s="550" t="str">
        <f t="shared" si="1"/>
        <v>03-C-041</v>
      </c>
      <c r="B46" s="787" t="str">
        <f t="shared" ca="1" si="2"/>
        <v>december</v>
      </c>
      <c r="C46" s="537" t="s">
        <v>61</v>
      </c>
      <c r="D46" s="537" t="s">
        <v>656</v>
      </c>
      <c r="E46" s="537" t="s">
        <v>1298</v>
      </c>
      <c r="F46" s="537" t="s">
        <v>656</v>
      </c>
    </row>
    <row r="47" spans="1:6" s="541" customFormat="1" x14ac:dyDescent="0.25">
      <c r="A47" s="539" t="str">
        <f t="shared" si="1"/>
        <v>03-C-042</v>
      </c>
      <c r="B47" s="791"/>
    </row>
    <row r="48" spans="1:6" s="544" customFormat="1" x14ac:dyDescent="0.25">
      <c r="A48" s="542" t="str">
        <f t="shared" si="1"/>
        <v>03-C-043</v>
      </c>
      <c r="B48" s="790"/>
    </row>
    <row r="49" spans="1:6" s="563" customFormat="1" x14ac:dyDescent="0.25">
      <c r="A49" s="562" t="str">
        <f t="shared" si="1"/>
        <v>03-C-044</v>
      </c>
      <c r="B49" s="785" t="str">
        <f ca="1">INDIRECT(CHAR(64+$C$2)&amp;ROW())</f>
        <v>De Puntentelling</v>
      </c>
      <c r="C49" s="563" t="s">
        <v>71</v>
      </c>
      <c r="D49" s="563" t="s">
        <v>657</v>
      </c>
      <c r="E49" s="563" t="s">
        <v>1299</v>
      </c>
      <c r="F49" s="563" t="s">
        <v>1616</v>
      </c>
    </row>
    <row r="50" spans="1:6" s="537" customFormat="1" x14ac:dyDescent="0.25">
      <c r="A50" s="550" t="str">
        <f t="shared" si="1"/>
        <v>03-C-045</v>
      </c>
      <c r="B50" s="787" t="str">
        <f ca="1">TRIM(INDIRECT(CHAR(64+$C$2)&amp;ROW()))</f>
        <v>Punt</v>
      </c>
      <c r="C50" s="537" t="s">
        <v>663</v>
      </c>
      <c r="D50" s="537" t="s">
        <v>664</v>
      </c>
      <c r="E50" s="537" t="s">
        <v>1300</v>
      </c>
      <c r="F50" s="537" t="s">
        <v>1300</v>
      </c>
    </row>
    <row r="51" spans="1:6" s="538" customFormat="1" x14ac:dyDescent="0.25">
      <c r="A51" s="549" t="str">
        <f t="shared" si="1"/>
        <v>03-C-046</v>
      </c>
      <c r="B51" s="788" t="str">
        <f ca="1">TRIM(INDIRECT(CHAR(64+$C$2)&amp;ROW()))</f>
        <v>Punten</v>
      </c>
      <c r="C51" s="538" t="s">
        <v>98</v>
      </c>
      <c r="D51" s="538" t="s">
        <v>665</v>
      </c>
      <c r="E51" s="538" t="s">
        <v>1301</v>
      </c>
      <c r="F51" s="538" t="s">
        <v>1617</v>
      </c>
    </row>
    <row r="52" spans="1:6" s="544" customFormat="1" x14ac:dyDescent="0.25">
      <c r="A52" s="542" t="str">
        <f t="shared" si="1"/>
        <v>03-C-047</v>
      </c>
      <c r="B52" s="790"/>
      <c r="F52" s="544" t="s">
        <v>322</v>
      </c>
    </row>
    <row r="53" spans="1:6" s="541" customFormat="1" x14ac:dyDescent="0.25">
      <c r="A53" s="539" t="str">
        <f t="shared" si="1"/>
        <v>03-C-048</v>
      </c>
      <c r="B53" s="791"/>
      <c r="F53" s="541" t="s">
        <v>322</v>
      </c>
    </row>
    <row r="54" spans="1:6" s="569" customFormat="1" x14ac:dyDescent="0.25">
      <c r="A54" s="568" t="str">
        <f t="shared" si="1"/>
        <v>03-C-049</v>
      </c>
      <c r="B54" s="794" t="str">
        <f t="shared" ref="B54:B70" ca="1" si="3">TRIM(INDIRECT(CHAR(64+$C$2)&amp;ROW()))</f>
        <v>Het voorspellen van de landen in de finalewedstrijden</v>
      </c>
      <c r="C54" s="569" t="s">
        <v>666</v>
      </c>
      <c r="D54" s="569" t="s">
        <v>879</v>
      </c>
      <c r="E54" s="569" t="s">
        <v>1302</v>
      </c>
      <c r="F54" s="569" t="s">
        <v>1618</v>
      </c>
    </row>
    <row r="55" spans="1:6" s="538" customFormat="1" x14ac:dyDescent="0.25">
      <c r="A55" s="549" t="str">
        <f t="shared" si="1"/>
        <v>03-C-050</v>
      </c>
      <c r="B55" s="788" t="str">
        <f t="shared" ca="1" si="3"/>
        <v>het land hoeft niet op de juiste positie te staan</v>
      </c>
      <c r="C55" s="538" t="s">
        <v>669</v>
      </c>
      <c r="D55" s="538" t="s">
        <v>668</v>
      </c>
      <c r="E55" s="538" t="s">
        <v>1303</v>
      </c>
      <c r="F55" s="538" t="s">
        <v>1619</v>
      </c>
    </row>
    <row r="56" spans="1:6" s="537" customFormat="1" x14ac:dyDescent="0.25">
      <c r="A56" s="550" t="str">
        <f t="shared" si="1"/>
        <v>03-C-051</v>
      </c>
      <c r="B56" s="787" t="str">
        <f t="shared" ca="1" si="3"/>
        <v>het land dient op de juiste positie te staan</v>
      </c>
      <c r="C56" s="537" t="s">
        <v>670</v>
      </c>
      <c r="D56" s="537" t="s">
        <v>667</v>
      </c>
      <c r="E56" s="537" t="s">
        <v>1304</v>
      </c>
      <c r="F56" s="537" t="s">
        <v>1620</v>
      </c>
    </row>
    <row r="57" spans="1:6" s="538" customFormat="1" x14ac:dyDescent="0.25">
      <c r="A57" s="549" t="str">
        <f t="shared" si="1"/>
        <v>03-C-052</v>
      </c>
      <c r="B57" s="788" t="str">
        <f t="shared" ca="1" si="3"/>
        <v>voor het goed voorspellen van de winnaar van het EK.</v>
      </c>
      <c r="C57" s="538" t="s">
        <v>2323</v>
      </c>
      <c r="D57" s="538" t="s">
        <v>2324</v>
      </c>
      <c r="E57" s="538" t="s">
        <v>2325</v>
      </c>
      <c r="F57" s="538" t="s">
        <v>2326</v>
      </c>
    </row>
    <row r="58" spans="1:6" s="537" customFormat="1" x14ac:dyDescent="0.25">
      <c r="A58" s="550" t="str">
        <f t="shared" si="1"/>
        <v>03-C-053</v>
      </c>
      <c r="B58" s="787" t="str">
        <f t="shared" ca="1" si="3"/>
        <v>voor elk goed voorspelde land in de finale</v>
      </c>
      <c r="C58" s="537" t="s">
        <v>671</v>
      </c>
      <c r="D58" s="537" t="s">
        <v>1187</v>
      </c>
      <c r="E58" s="537" t="s">
        <v>1305</v>
      </c>
      <c r="F58" s="537" t="s">
        <v>1621</v>
      </c>
    </row>
    <row r="59" spans="1:6" s="538" customFormat="1" x14ac:dyDescent="0.25">
      <c r="A59" s="549" t="str">
        <f t="shared" si="1"/>
        <v>03-C-054</v>
      </c>
      <c r="B59" s="788" t="str">
        <f t="shared" ca="1" si="3"/>
        <v>voor elk goed voorspelde land in de troostfinale</v>
      </c>
      <c r="C59" s="538" t="s">
        <v>672</v>
      </c>
      <c r="D59" s="538" t="s">
        <v>1188</v>
      </c>
      <c r="E59" s="538" t="s">
        <v>1306</v>
      </c>
      <c r="F59" s="538" t="s">
        <v>1622</v>
      </c>
    </row>
    <row r="60" spans="1:6" s="537" customFormat="1" x14ac:dyDescent="0.25">
      <c r="A60" s="550" t="str">
        <f t="shared" si="1"/>
        <v>03-C-055</v>
      </c>
      <c r="B60" s="787" t="str">
        <f t="shared" ca="1" si="3"/>
        <v>voor elk goed voorspelde land in de halve finales</v>
      </c>
      <c r="C60" s="537" t="s">
        <v>673</v>
      </c>
      <c r="D60" s="537" t="s">
        <v>1189</v>
      </c>
      <c r="E60" s="537" t="s">
        <v>1307</v>
      </c>
      <c r="F60" s="537" t="s">
        <v>1623</v>
      </c>
    </row>
    <row r="61" spans="1:6" s="538" customFormat="1" x14ac:dyDescent="0.25">
      <c r="A61" s="549" t="str">
        <f t="shared" si="1"/>
        <v>03-C-056</v>
      </c>
      <c r="B61" s="788" t="str">
        <f t="shared" ca="1" si="3"/>
        <v>voor elk goed voorspelde land in de kwartfinales</v>
      </c>
      <c r="C61" s="538" t="s">
        <v>674</v>
      </c>
      <c r="D61" s="538" t="s">
        <v>1190</v>
      </c>
      <c r="E61" s="538" t="s">
        <v>1308</v>
      </c>
      <c r="F61" s="538" t="s">
        <v>1624</v>
      </c>
    </row>
    <row r="62" spans="1:6" s="537" customFormat="1" x14ac:dyDescent="0.25">
      <c r="A62" s="550" t="str">
        <f t="shared" si="1"/>
        <v>03-C-057</v>
      </c>
      <c r="B62" s="787" t="str">
        <f t="shared" ca="1" si="3"/>
        <v>voor elk goed voorspelde land in de achtste finales</v>
      </c>
      <c r="C62" s="537" t="s">
        <v>675</v>
      </c>
      <c r="D62" s="537" t="s">
        <v>1191</v>
      </c>
      <c r="E62" s="537" t="s">
        <v>1309</v>
      </c>
      <c r="F62" s="537" t="s">
        <v>1625</v>
      </c>
    </row>
    <row r="63" spans="1:6" s="538" customFormat="1" x14ac:dyDescent="0.25">
      <c r="A63" s="549" t="str">
        <f t="shared" si="1"/>
        <v>03-C-058</v>
      </c>
      <c r="B63" s="788" t="str">
        <f t="shared" ca="1" si="3"/>
        <v>Heeft men het land niet op de juiste positie voorspeld maar het heeft wel de betreffende finaleronde</v>
      </c>
      <c r="C63" s="538" t="s">
        <v>678</v>
      </c>
      <c r="D63" s="538" t="s">
        <v>1192</v>
      </c>
      <c r="E63" s="538" t="s">
        <v>1310</v>
      </c>
      <c r="F63" s="538" t="s">
        <v>1626</v>
      </c>
    </row>
    <row r="64" spans="1:6" s="537" customFormat="1" x14ac:dyDescent="0.25">
      <c r="A64" s="550" t="str">
        <f t="shared" si="1"/>
        <v>03-C-059</v>
      </c>
      <c r="B64" s="787" t="str">
        <f t="shared" ca="1" si="3"/>
        <v>behaald dan ontvangt men alsnog de helft van het aantal punten voor het juist voorspellen van het land.</v>
      </c>
      <c r="C64" s="537" t="s">
        <v>676</v>
      </c>
      <c r="D64" s="537" t="s">
        <v>1193</v>
      </c>
      <c r="E64" s="537" t="s">
        <v>1311</v>
      </c>
      <c r="F64" s="537" t="s">
        <v>1627</v>
      </c>
    </row>
    <row r="65" spans="1:6" s="538" customFormat="1" x14ac:dyDescent="0.25">
      <c r="A65" s="549" t="str">
        <f t="shared" si="1"/>
        <v>03-C-060</v>
      </c>
      <c r="B65" s="788" t="str">
        <f t="shared" ca="1" si="3"/>
        <v>behaald dan ontvangt men alsnog het volledig aantal punten voor het juist voorspellen van het land.</v>
      </c>
      <c r="C65" s="538" t="s">
        <v>677</v>
      </c>
      <c r="D65" s="538" t="s">
        <v>1194</v>
      </c>
      <c r="E65" s="538" t="s">
        <v>1312</v>
      </c>
      <c r="F65" s="538" t="s">
        <v>1628</v>
      </c>
    </row>
    <row r="66" spans="1:6" s="537" customFormat="1" ht="15" customHeight="1" x14ac:dyDescent="0.25">
      <c r="A66" s="550" t="str">
        <f t="shared" si="1"/>
        <v>03-C-061</v>
      </c>
      <c r="B66" s="787" t="str">
        <f t="shared" ca="1" si="3"/>
        <v>Het is niet toegestaan om een land meerdere keren te voorspellen in één finaleronde.</v>
      </c>
      <c r="C66" s="537" t="s">
        <v>680</v>
      </c>
      <c r="D66" s="537" t="s">
        <v>1195</v>
      </c>
      <c r="E66" s="537" t="s">
        <v>1313</v>
      </c>
      <c r="F66" s="537" t="s">
        <v>1629</v>
      </c>
    </row>
    <row r="67" spans="1:6" s="538" customFormat="1" x14ac:dyDescent="0.25">
      <c r="A67" s="549" t="str">
        <f t="shared" si="1"/>
        <v>03-C-062</v>
      </c>
      <c r="B67" s="788" t="str">
        <f t="shared" ca="1" si="3"/>
        <v>Het is toegestaan om een land meerdere keren te voorspellen in één finaleronde.</v>
      </c>
      <c r="C67" s="538" t="s">
        <v>679</v>
      </c>
      <c r="D67" s="538" t="s">
        <v>1196</v>
      </c>
      <c r="E67" s="538" t="s">
        <v>1314</v>
      </c>
      <c r="F67" s="538" t="s">
        <v>1630</v>
      </c>
    </row>
    <row r="68" spans="1:6" s="537" customFormat="1" x14ac:dyDescent="0.25">
      <c r="A68" s="550" t="str">
        <f t="shared" si="1"/>
        <v>03-C-063</v>
      </c>
      <c r="B68" s="787" t="str">
        <f t="shared" ca="1" si="3"/>
        <v>Punten voor het goed voorspellen van een land in de finaleronden worden pas meegeteld op het moment dat</v>
      </c>
      <c r="C68" s="537" t="s">
        <v>683</v>
      </c>
      <c r="D68" s="537" t="s">
        <v>1197</v>
      </c>
      <c r="E68" s="537" t="s">
        <v>1315</v>
      </c>
      <c r="F68" s="537" t="s">
        <v>1631</v>
      </c>
    </row>
    <row r="69" spans="1:6" s="538" customFormat="1" x14ac:dyDescent="0.25">
      <c r="A69" s="549" t="str">
        <f t="shared" si="1"/>
        <v>03-C-064</v>
      </c>
      <c r="B69" s="788" t="str">
        <f t="shared" ca="1" si="3"/>
        <v>de uitslag van de betreffende wedstrijd bekend is.</v>
      </c>
      <c r="C69" s="538" t="s">
        <v>681</v>
      </c>
      <c r="D69" s="538" t="s">
        <v>1198</v>
      </c>
      <c r="E69" s="538" t="s">
        <v>1316</v>
      </c>
      <c r="F69" s="538" t="s">
        <v>1632</v>
      </c>
    </row>
    <row r="70" spans="1:6" s="537" customFormat="1" x14ac:dyDescent="0.25">
      <c r="A70" s="550" t="str">
        <f t="shared" si="1"/>
        <v>03-C-065</v>
      </c>
      <c r="B70" s="787" t="str">
        <f t="shared" ca="1" si="3"/>
        <v>de uitslag van de betreffende wedstrijd bekend is of als het voorspelde land zijn wedstrijd heeft gespeeld.</v>
      </c>
      <c r="C70" s="537" t="s">
        <v>682</v>
      </c>
      <c r="D70" s="537" t="s">
        <v>684</v>
      </c>
      <c r="E70" s="537" t="s">
        <v>1317</v>
      </c>
      <c r="F70" s="537" t="s">
        <v>1633</v>
      </c>
    </row>
    <row r="71" spans="1:6" s="541" customFormat="1" x14ac:dyDescent="0.25">
      <c r="A71" s="539" t="str">
        <f t="shared" si="1"/>
        <v>03-C-066</v>
      </c>
      <c r="B71" s="791"/>
      <c r="F71" s="541" t="s">
        <v>322</v>
      </c>
    </row>
    <row r="72" spans="1:6" s="544" customFormat="1" x14ac:dyDescent="0.25">
      <c r="A72" s="542" t="str">
        <f t="shared" si="1"/>
        <v>03-C-067</v>
      </c>
      <c r="B72" s="790"/>
      <c r="F72" s="544" t="s">
        <v>322</v>
      </c>
    </row>
    <row r="73" spans="1:6" s="571" customFormat="1" x14ac:dyDescent="0.25">
      <c r="A73" s="570" t="str">
        <f t="shared" si="1"/>
        <v>03-C-068</v>
      </c>
      <c r="B73" s="795" t="str">
        <f ca="1">TRIM(INDIRECT(CHAR(64+$C$2)&amp;ROW()))</f>
        <v>Het voorspellen van de eindstand in de groep</v>
      </c>
      <c r="C73" s="571" t="s">
        <v>685</v>
      </c>
      <c r="D73" s="571" t="s">
        <v>1145</v>
      </c>
      <c r="E73" s="571" t="s">
        <v>1318</v>
      </c>
      <c r="F73" s="571" t="s">
        <v>1634</v>
      </c>
    </row>
    <row r="74" spans="1:6" s="537" customFormat="1" x14ac:dyDescent="0.25">
      <c r="A74" s="550" t="str">
        <f t="shared" si="1"/>
        <v>03-C-069</v>
      </c>
      <c r="B74" s="787" t="str">
        <f ca="1">TRIM(INDIRECT(CHAR(64+$C$2)&amp;ROW()))</f>
        <v>voor elk goed voorspelde land bij de eindstand in de groep.</v>
      </c>
      <c r="C74" s="537" t="s">
        <v>686</v>
      </c>
      <c r="D74" s="537" t="s">
        <v>768</v>
      </c>
      <c r="E74" s="537" t="s">
        <v>1319</v>
      </c>
      <c r="F74" s="537" t="s">
        <v>1635</v>
      </c>
    </row>
    <row r="75" spans="1:6" s="538" customFormat="1" x14ac:dyDescent="0.25">
      <c r="A75" s="549" t="str">
        <f t="shared" ref="A75:A166" si="4">LEFT(A74,5)&amp;RIGHT("000"&amp;RIGHT(A74,3)*1+1,3)</f>
        <v>03-C-070</v>
      </c>
      <c r="B75" s="788" t="str">
        <f ca="1">TRIM(INDIRECT(CHAR(64+$C$2)&amp;ROW()))</f>
        <v>Elk land mag maar één keer ingevuld worden bij de voorspelling van de eindstand in de groep.</v>
      </c>
      <c r="C75" s="538" t="s">
        <v>687</v>
      </c>
      <c r="D75" s="538" t="s">
        <v>895</v>
      </c>
      <c r="E75" s="538" t="s">
        <v>1320</v>
      </c>
      <c r="F75" s="538" t="s">
        <v>1636</v>
      </c>
    </row>
    <row r="76" spans="1:6" s="537" customFormat="1" x14ac:dyDescent="0.25">
      <c r="A76" s="550" t="str">
        <f t="shared" si="4"/>
        <v>03-C-071</v>
      </c>
      <c r="B76" s="787" t="str">
        <f ca="1">TRIM(INDIRECT(CHAR(64+$C$2)&amp;ROW()))</f>
        <v>De punten voor elke juiste voorspelling worden pas opgeteld als de laatste wedstrijd van de groep is gespeeld.</v>
      </c>
      <c r="C76" s="537" t="s">
        <v>770</v>
      </c>
      <c r="D76" s="537" t="s">
        <v>769</v>
      </c>
      <c r="E76" s="537" t="s">
        <v>1321</v>
      </c>
      <c r="F76" s="537" t="s">
        <v>1637</v>
      </c>
    </row>
    <row r="77" spans="1:6" s="541" customFormat="1" x14ac:dyDescent="0.25">
      <c r="A77" s="539" t="str">
        <f t="shared" si="4"/>
        <v>03-C-072</v>
      </c>
      <c r="B77" s="791"/>
      <c r="F77" s="541" t="s">
        <v>322</v>
      </c>
    </row>
    <row r="78" spans="1:6" s="544" customFormat="1" x14ac:dyDescent="0.25">
      <c r="A78" s="542" t="str">
        <f t="shared" si="4"/>
        <v>03-C-073</v>
      </c>
      <c r="B78" s="790"/>
      <c r="F78" s="544" t="s">
        <v>322</v>
      </c>
    </row>
    <row r="79" spans="1:6" s="571" customFormat="1" x14ac:dyDescent="0.25">
      <c r="A79" s="570" t="str">
        <f t="shared" si="4"/>
        <v>03-C-074</v>
      </c>
      <c r="B79" s="795" t="str">
        <f t="shared" ref="B79:B84" ca="1" si="5">TRIM(INDIRECT(CHAR(64+$C$2)&amp;ROW()))</f>
        <v>Het voorspellen van de TOTO</v>
      </c>
      <c r="C79" s="571" t="s">
        <v>689</v>
      </c>
      <c r="D79" s="571" t="s">
        <v>691</v>
      </c>
      <c r="E79" s="571" t="s">
        <v>1322</v>
      </c>
      <c r="F79" s="571" t="s">
        <v>1638</v>
      </c>
    </row>
    <row r="80" spans="1:6" s="537" customFormat="1" x14ac:dyDescent="0.25">
      <c r="A80" s="550" t="str">
        <f t="shared" si="4"/>
        <v>03-C-075</v>
      </c>
      <c r="B80" s="787" t="str">
        <f t="shared" ca="1" si="5"/>
        <v>voor het goed voorspellen van de TOTO (winst / verlies of gelijkspel).</v>
      </c>
      <c r="C80" s="537" t="s">
        <v>690</v>
      </c>
      <c r="D80" s="537" t="s">
        <v>692</v>
      </c>
      <c r="E80" s="537" t="s">
        <v>1323</v>
      </c>
      <c r="F80" s="537" t="s">
        <v>1639</v>
      </c>
    </row>
    <row r="81" spans="1:6" s="538" customFormat="1" x14ac:dyDescent="0.25">
      <c r="A81" s="549" t="str">
        <f t="shared" si="4"/>
        <v>03-C-076</v>
      </c>
      <c r="B81" s="788" t="str">
        <f t="shared" ca="1" si="5"/>
        <v>Bij de finalewedstrijden is het niet noodzakelijk om de landen juist voorspeld te hebben om aanspraak te maken</v>
      </c>
      <c r="C81" s="538" t="s">
        <v>1926</v>
      </c>
      <c r="D81" s="538" t="s">
        <v>880</v>
      </c>
      <c r="E81" s="538" t="s">
        <v>1324</v>
      </c>
      <c r="F81" s="538" t="s">
        <v>1640</v>
      </c>
    </row>
    <row r="82" spans="1:6" s="537" customFormat="1" x14ac:dyDescent="0.25">
      <c r="A82" s="550" t="str">
        <f t="shared" si="4"/>
        <v>03-C-077</v>
      </c>
      <c r="B82" s="787" t="str">
        <f t="shared" ca="1" si="5"/>
        <v>Bij de finalewedstrijden dient men één of beide landen juist voorspeld te hebben om aanspraak te maken</v>
      </c>
      <c r="C82" s="537" t="s">
        <v>1927</v>
      </c>
      <c r="D82" s="537" t="s">
        <v>881</v>
      </c>
      <c r="E82" s="537" t="s">
        <v>1325</v>
      </c>
      <c r="F82" s="537" t="s">
        <v>1641</v>
      </c>
    </row>
    <row r="83" spans="1:6" s="538" customFormat="1" x14ac:dyDescent="0.25">
      <c r="A83" s="549" t="str">
        <f t="shared" si="4"/>
        <v>03-C-078</v>
      </c>
      <c r="B83" s="788" t="str">
        <f t="shared" ca="1" si="5"/>
        <v>Bij de finalewedstrijden dient men beide landen juist voorspeld te hebben om aanspraak te maken</v>
      </c>
      <c r="C83" s="538" t="s">
        <v>1928</v>
      </c>
      <c r="D83" s="538" t="s">
        <v>882</v>
      </c>
      <c r="E83" s="538" t="s">
        <v>1326</v>
      </c>
      <c r="F83" s="538" t="s">
        <v>1642</v>
      </c>
    </row>
    <row r="84" spans="1:6" s="537" customFormat="1" x14ac:dyDescent="0.25">
      <c r="A84" s="550" t="str">
        <f t="shared" si="4"/>
        <v>03-C-079</v>
      </c>
      <c r="B84" s="787" t="str">
        <f t="shared" ca="1" si="5"/>
        <v>op de punten voor het juist voorspellen van de TOTO.</v>
      </c>
      <c r="C84" s="537" t="s">
        <v>1929</v>
      </c>
      <c r="D84" s="537" t="s">
        <v>693</v>
      </c>
      <c r="E84" s="537" t="s">
        <v>1327</v>
      </c>
      <c r="F84" s="537" t="s">
        <v>1643</v>
      </c>
    </row>
    <row r="85" spans="1:6" s="541" customFormat="1" x14ac:dyDescent="0.25">
      <c r="A85" s="539" t="str">
        <f t="shared" si="4"/>
        <v>03-C-080</v>
      </c>
      <c r="B85" s="791"/>
      <c r="F85" s="541" t="s">
        <v>322</v>
      </c>
    </row>
    <row r="86" spans="1:6" s="544" customFormat="1" x14ac:dyDescent="0.25">
      <c r="A86" s="542" t="str">
        <f t="shared" si="4"/>
        <v>03-C-081</v>
      </c>
      <c r="B86" s="790"/>
      <c r="F86" s="544" t="s">
        <v>322</v>
      </c>
    </row>
    <row r="87" spans="1:6" s="571" customFormat="1" x14ac:dyDescent="0.25">
      <c r="A87" s="570" t="str">
        <f t="shared" si="4"/>
        <v>03-C-082</v>
      </c>
      <c r="B87" s="795" t="str">
        <f t="shared" ref="B87:B106" ca="1" si="6">TRIM(INDIRECT(CHAR(64+$C$2)&amp;ROW()))</f>
        <v>Het voorspellen van de uitslag</v>
      </c>
      <c r="C87" s="571" t="s">
        <v>688</v>
      </c>
      <c r="D87" s="571" t="s">
        <v>694</v>
      </c>
      <c r="E87" s="571" t="s">
        <v>1328</v>
      </c>
      <c r="F87" s="571" t="s">
        <v>1644</v>
      </c>
    </row>
    <row r="88" spans="1:6" s="537" customFormat="1" x14ac:dyDescent="0.25">
      <c r="A88" s="550" t="str">
        <f t="shared" si="4"/>
        <v>03-C-083</v>
      </c>
      <c r="B88" s="787" t="str">
        <f t="shared" ca="1" si="6"/>
        <v>voor het goed voorspellen van het aantal gescoorde doelpunten per spelend team.</v>
      </c>
      <c r="C88" s="537" t="s">
        <v>695</v>
      </c>
      <c r="D88" s="537" t="s">
        <v>696</v>
      </c>
      <c r="E88" s="537" t="s">
        <v>1329</v>
      </c>
      <c r="F88" s="537" t="s">
        <v>1645</v>
      </c>
    </row>
    <row r="89" spans="1:6" s="538" customFormat="1" x14ac:dyDescent="0.25">
      <c r="A89" s="549" t="str">
        <f t="shared" si="4"/>
        <v>03-C-084</v>
      </c>
      <c r="B89" s="788" t="str">
        <f t="shared" ca="1" si="6"/>
        <v>voor het goed voorspellen van het aantal gescoorde doelpunten per spelend team, mits de TOTO juist</v>
      </c>
      <c r="C89" s="538" t="s">
        <v>1911</v>
      </c>
      <c r="D89" s="538" t="s">
        <v>698</v>
      </c>
      <c r="E89" s="538" t="s">
        <v>1330</v>
      </c>
      <c r="F89" s="538" t="s">
        <v>1646</v>
      </c>
    </row>
    <row r="90" spans="1:6" s="537" customFormat="1" x14ac:dyDescent="0.25">
      <c r="A90" s="550" t="str">
        <f t="shared" si="4"/>
        <v>03-C-085</v>
      </c>
      <c r="B90" s="787" t="str">
        <f t="shared" ca="1" si="6"/>
        <v>is voorspeld.</v>
      </c>
      <c r="C90" s="537" t="s">
        <v>1912</v>
      </c>
      <c r="D90" s="537" t="s">
        <v>697</v>
      </c>
      <c r="E90" s="537" t="s">
        <v>1331</v>
      </c>
      <c r="F90" s="537" t="s">
        <v>1647</v>
      </c>
    </row>
    <row r="91" spans="1:6" s="538" customFormat="1" x14ac:dyDescent="0.25">
      <c r="A91" s="549" t="str">
        <f t="shared" si="4"/>
        <v>03-C-086</v>
      </c>
      <c r="B91" s="788" t="str">
        <f t="shared" ca="1" si="6"/>
        <v>aftrek voor elk doelpunt dat de voorspelling afwijkt van de uitslag.</v>
      </c>
      <c r="C91" s="538" t="s">
        <v>699</v>
      </c>
      <c r="D91" s="538" t="s">
        <v>700</v>
      </c>
      <c r="E91" s="538" t="s">
        <v>1332</v>
      </c>
      <c r="F91" s="538" t="s">
        <v>1648</v>
      </c>
    </row>
    <row r="92" spans="1:6" s="537" customFormat="1" x14ac:dyDescent="0.25">
      <c r="A92" s="550" t="str">
        <f t="shared" si="4"/>
        <v>03-C-087</v>
      </c>
      <c r="B92" s="787" t="str">
        <f t="shared" ca="1" si="6"/>
        <v>aftrek voor elk doelpunt dat de voorspelling afwijkt van de uitslag (van het juist voorspelde land).</v>
      </c>
      <c r="C92" s="537" t="s">
        <v>706</v>
      </c>
      <c r="D92" s="537" t="s">
        <v>705</v>
      </c>
      <c r="E92" s="537" t="s">
        <v>1333</v>
      </c>
      <c r="F92" s="537" t="s">
        <v>1649</v>
      </c>
    </row>
    <row r="93" spans="1:6" s="538" customFormat="1" x14ac:dyDescent="0.25">
      <c r="A93" s="549" t="str">
        <f t="shared" si="4"/>
        <v>03-C-088</v>
      </c>
      <c r="B93" s="788" t="str">
        <f t="shared" ca="1" si="6"/>
        <v>Men ontvangt standaard ### $$$ voor elk land tijdens de groepswedstrijden, mits de TOTO juist is.</v>
      </c>
      <c r="C93" s="538" t="s">
        <v>1004</v>
      </c>
      <c r="D93" s="538" t="s">
        <v>1016</v>
      </c>
      <c r="E93" s="538" t="s">
        <v>1334</v>
      </c>
      <c r="F93" s="538" t="s">
        <v>1650</v>
      </c>
    </row>
    <row r="94" spans="1:6" s="537" customFormat="1" x14ac:dyDescent="0.25">
      <c r="A94" s="550" t="str">
        <f t="shared" si="4"/>
        <v>03-C-089</v>
      </c>
      <c r="B94" s="787" t="str">
        <f t="shared" ca="1" si="6"/>
        <v>Men ontvangt standaard ### $$$ voor elk land tijdens de groepswedstrijden.</v>
      </c>
      <c r="C94" s="537" t="s">
        <v>1005</v>
      </c>
      <c r="D94" s="537" t="s">
        <v>1017</v>
      </c>
      <c r="E94" s="537" t="s">
        <v>1335</v>
      </c>
      <c r="F94" s="537" t="s">
        <v>1651</v>
      </c>
    </row>
    <row r="95" spans="1:6" s="538" customFormat="1" x14ac:dyDescent="0.25">
      <c r="A95" s="549" t="str">
        <f t="shared" si="4"/>
        <v>03-C-090</v>
      </c>
      <c r="B95" s="788" t="str">
        <f t="shared" ca="1" si="6"/>
        <v>Men ontvangt standaard ### $$$ per groepswedstrijd, mits de TOTO juist is.</v>
      </c>
      <c r="C95" s="538" t="s">
        <v>1006</v>
      </c>
      <c r="D95" s="538" t="s">
        <v>1018</v>
      </c>
      <c r="E95" s="538" t="s">
        <v>1336</v>
      </c>
      <c r="F95" s="538" t="s">
        <v>1652</v>
      </c>
    </row>
    <row r="96" spans="1:6" s="537" customFormat="1" x14ac:dyDescent="0.25">
      <c r="A96" s="550" t="str">
        <f t="shared" si="4"/>
        <v>03-C-091</v>
      </c>
      <c r="B96" s="787" t="str">
        <f t="shared" ca="1" si="6"/>
        <v>Men ontvangt standaard ### $$$ per groepswedstrijd.</v>
      </c>
      <c r="C96" s="537" t="s">
        <v>1007</v>
      </c>
      <c r="D96" s="537" t="s">
        <v>1019</v>
      </c>
      <c r="E96" s="537" t="s">
        <v>1337</v>
      </c>
      <c r="F96" s="537" t="s">
        <v>1653</v>
      </c>
    </row>
    <row r="97" spans="1:6" s="538" customFormat="1" x14ac:dyDescent="0.25">
      <c r="A97" s="549" t="str">
        <f t="shared" si="4"/>
        <v>03-C-092</v>
      </c>
      <c r="B97" s="788" t="str">
        <f t="shared" ca="1" si="6"/>
        <v>Men ontvangt standaard ### $$$ per finalewedstrijd, mits de TOTO juist is.</v>
      </c>
      <c r="C97" s="538" t="s">
        <v>1008</v>
      </c>
      <c r="D97" s="538" t="s">
        <v>1020</v>
      </c>
      <c r="E97" s="538" t="s">
        <v>1338</v>
      </c>
      <c r="F97" s="538" t="s">
        <v>1654</v>
      </c>
    </row>
    <row r="98" spans="1:6" s="537" customFormat="1" x14ac:dyDescent="0.25">
      <c r="A98" s="550" t="str">
        <f t="shared" si="4"/>
        <v>03-C-093</v>
      </c>
      <c r="B98" s="787" t="str">
        <f t="shared" ca="1" si="6"/>
        <v>Men ontvangt standaard ### $$$ per finalewedstrijd.</v>
      </c>
      <c r="C98" s="537" t="s">
        <v>1009</v>
      </c>
      <c r="D98" s="537" t="s">
        <v>1021</v>
      </c>
      <c r="E98" s="537" t="s">
        <v>1339</v>
      </c>
      <c r="F98" s="537" t="s">
        <v>1655</v>
      </c>
    </row>
    <row r="99" spans="1:6" s="538" customFormat="1" x14ac:dyDescent="0.25">
      <c r="A99" s="549" t="str">
        <f t="shared" si="4"/>
        <v>03-C-094</v>
      </c>
      <c r="B99" s="788" t="str">
        <f t="shared" ca="1" si="6"/>
        <v>Men ontvangt standaard ### $$$ per finalewedstrijd mits één of beide landen en de TOTO juist zijn.</v>
      </c>
      <c r="C99" s="538" t="s">
        <v>1010</v>
      </c>
      <c r="D99" s="538" t="s">
        <v>1022</v>
      </c>
      <c r="E99" s="538" t="s">
        <v>1340</v>
      </c>
      <c r="F99" s="538" t="s">
        <v>1656</v>
      </c>
    </row>
    <row r="100" spans="1:6" s="537" customFormat="1" x14ac:dyDescent="0.25">
      <c r="A100" s="550" t="str">
        <f t="shared" si="4"/>
        <v>03-C-095</v>
      </c>
      <c r="B100" s="787" t="str">
        <f t="shared" ca="1" si="6"/>
        <v>Men ontvangt standaard ### $$$ per finalewedstrijd mits één of beide landen juist zijn voorspeld.</v>
      </c>
      <c r="C100" s="537" t="s">
        <v>1011</v>
      </c>
      <c r="D100" s="537" t="s">
        <v>1023</v>
      </c>
      <c r="E100" s="537" t="s">
        <v>1341</v>
      </c>
      <c r="F100" s="537" t="s">
        <v>1657</v>
      </c>
    </row>
    <row r="101" spans="1:6" s="538" customFormat="1" x14ac:dyDescent="0.25">
      <c r="A101" s="549" t="str">
        <f t="shared" si="4"/>
        <v>03-C-096</v>
      </c>
      <c r="B101" s="788" t="str">
        <f t="shared" ca="1" si="6"/>
        <v>Men ontvangt standaard ### $$$ per juist voorspelde land tijdens de finalewedstrijden, mits de TOTO juist is.</v>
      </c>
      <c r="C101" s="538" t="s">
        <v>1012</v>
      </c>
      <c r="D101" s="538" t="s">
        <v>1024</v>
      </c>
      <c r="E101" s="538" t="s">
        <v>1342</v>
      </c>
      <c r="F101" s="538" t="s">
        <v>1658</v>
      </c>
    </row>
    <row r="102" spans="1:6" s="537" customFormat="1" x14ac:dyDescent="0.25">
      <c r="A102" s="550" t="str">
        <f t="shared" si="4"/>
        <v>03-C-097</v>
      </c>
      <c r="B102" s="787" t="str">
        <f t="shared" ca="1" si="6"/>
        <v>Men ontvangt standaard ### $$$ per juist voorspelde land tijdens de finalewedstrijden.</v>
      </c>
      <c r="C102" s="537" t="s">
        <v>1013</v>
      </c>
      <c r="D102" s="537" t="s">
        <v>1025</v>
      </c>
      <c r="E102" s="537" t="s">
        <v>1343</v>
      </c>
      <c r="F102" s="537" t="s">
        <v>1659</v>
      </c>
    </row>
    <row r="103" spans="1:6" s="538" customFormat="1" x14ac:dyDescent="0.25">
      <c r="A103" s="549" t="str">
        <f t="shared" si="4"/>
        <v>03-C-098</v>
      </c>
      <c r="B103" s="788" t="str">
        <f t="shared" ca="1" si="6"/>
        <v>Men ontvangt standaard ### $$$ per finalewedstrijd mits beide landen en de TOTO juist zijn voorspeld.</v>
      </c>
      <c r="C103" s="538" t="s">
        <v>1014</v>
      </c>
      <c r="D103" s="538" t="s">
        <v>1026</v>
      </c>
      <c r="E103" s="538" t="s">
        <v>1344</v>
      </c>
      <c r="F103" s="538" t="s">
        <v>1660</v>
      </c>
    </row>
    <row r="104" spans="1:6" s="537" customFormat="1" x14ac:dyDescent="0.25">
      <c r="A104" s="550" t="str">
        <f t="shared" si="4"/>
        <v>03-C-099</v>
      </c>
      <c r="B104" s="787" t="str">
        <f t="shared" ca="1" si="6"/>
        <v>Men ontvangt standaard ### $$$ per finalewedstrijd mits beide landen juist zijn voorspeld.</v>
      </c>
      <c r="C104" s="537" t="s">
        <v>1015</v>
      </c>
      <c r="D104" s="537" t="s">
        <v>1027</v>
      </c>
      <c r="E104" s="537" t="s">
        <v>1345</v>
      </c>
      <c r="F104" s="537" t="s">
        <v>1661</v>
      </c>
    </row>
    <row r="105" spans="1:6" s="538" customFormat="1" x14ac:dyDescent="0.25">
      <c r="A105" s="549" t="str">
        <f t="shared" si="4"/>
        <v>03-C-100</v>
      </c>
      <c r="B105" s="788" t="str">
        <f t="shared" ca="1" si="6"/>
        <v>De aftrek van punten zal nooit hoger zijn dan de standaard verkregen punten.</v>
      </c>
      <c r="C105" s="538" t="s">
        <v>701</v>
      </c>
      <c r="D105" s="538" t="s">
        <v>702</v>
      </c>
      <c r="E105" s="538" t="s">
        <v>1346</v>
      </c>
      <c r="F105" s="538" t="s">
        <v>1662</v>
      </c>
    </row>
    <row r="106" spans="1:6" s="537" customFormat="1" x14ac:dyDescent="0.25">
      <c r="A106" s="550" t="str">
        <f t="shared" si="4"/>
        <v>03-C-101</v>
      </c>
      <c r="B106" s="787" t="str">
        <f t="shared" ca="1" si="6"/>
        <v>De aftrek van punten zal per land nooit hoger zijn dan de standaard verkregen punten per land.</v>
      </c>
      <c r="C106" s="537" t="s">
        <v>703</v>
      </c>
      <c r="D106" s="537" t="s">
        <v>704</v>
      </c>
      <c r="E106" s="537" t="s">
        <v>1347</v>
      </c>
      <c r="F106" s="537" t="s">
        <v>1663</v>
      </c>
    </row>
    <row r="107" spans="1:6" s="541" customFormat="1" x14ac:dyDescent="0.25">
      <c r="A107" s="539" t="str">
        <f t="shared" si="4"/>
        <v>03-C-102</v>
      </c>
      <c r="B107" s="791"/>
      <c r="F107" s="541" t="s">
        <v>322</v>
      </c>
    </row>
    <row r="108" spans="1:6" s="544" customFormat="1" x14ac:dyDescent="0.25">
      <c r="A108" s="542" t="str">
        <f t="shared" si="4"/>
        <v>03-C-103</v>
      </c>
      <c r="B108" s="790"/>
      <c r="F108" s="544" t="s">
        <v>322</v>
      </c>
    </row>
    <row r="109" spans="1:6" s="538" customFormat="1" x14ac:dyDescent="0.25">
      <c r="A109" s="570" t="str">
        <f t="shared" si="4"/>
        <v>03-C-104</v>
      </c>
      <c r="B109" s="795" t="str">
        <f t="shared" ref="B109:B119" ca="1" si="7">TRIM(INDIRECT(CHAR(64+$C$2)&amp;ROW()))</f>
        <v>Het voorspellen van de TOTO en de eindstand</v>
      </c>
      <c r="C109" s="571" t="s">
        <v>1913</v>
      </c>
      <c r="D109" s="571" t="s">
        <v>1914</v>
      </c>
      <c r="E109" s="571" t="s">
        <v>1915</v>
      </c>
      <c r="F109" s="571" t="s">
        <v>1916</v>
      </c>
    </row>
    <row r="110" spans="1:6" s="537" customFormat="1" x14ac:dyDescent="0.25">
      <c r="A110" s="550" t="str">
        <f t="shared" si="4"/>
        <v>03-C-105</v>
      </c>
      <c r="B110" s="787" t="str">
        <f t="shared" ca="1" si="7"/>
        <v>voor het goed voorspellen van de TOTO (winst / verlies of gelijkspel).</v>
      </c>
      <c r="C110" s="855" t="str">
        <f>C80</f>
        <v>voor het goed voorspellen van de TOTO (winst / verlies of gelijkspel).</v>
      </c>
      <c r="D110" s="855" t="str">
        <f>D80</f>
        <v>for correctly predicting the TOTO (win / loss or draw).</v>
      </c>
      <c r="E110" s="855" t="str">
        <f>E80</f>
        <v>für die korrekte Vorhersage des TOTO (Sieg / Niederlage oder Unentschieden).</v>
      </c>
      <c r="F110" s="855" t="str">
        <f>F80</f>
        <v>för ett korrekt förutsägelse av "1X2" (vinst / förlust eller oavgjort).</v>
      </c>
    </row>
    <row r="111" spans="1:6" s="538" customFormat="1" x14ac:dyDescent="0.25">
      <c r="A111" s="549" t="str">
        <f t="shared" si="4"/>
        <v>03-C-106</v>
      </c>
      <c r="B111" s="788" t="str">
        <f t="shared" ca="1" si="7"/>
        <v>voor het goed voorspellen van het aantal gescoorde doelpunten per spelend team.</v>
      </c>
      <c r="C111" s="856" t="str">
        <f t="shared" ref="C111:F113" si="8">C88</f>
        <v>voor het goed voorspellen van het aantal gescoorde doelpunten per spelend team.</v>
      </c>
      <c r="D111" s="856" t="str">
        <f t="shared" si="8"/>
        <v>for correctly predicting the number of goals scored per team.</v>
      </c>
      <c r="E111" s="856" t="str">
        <f t="shared" si="8"/>
        <v>für die korrekte Vorhersage der Anzahl der pro Team erzielten Tore.</v>
      </c>
      <c r="F111" s="856" t="str">
        <f t="shared" si="8"/>
        <v>för att korrekt antal mål per spelande lag har förutspåtts.</v>
      </c>
    </row>
    <row r="112" spans="1:6" s="537" customFormat="1" x14ac:dyDescent="0.25">
      <c r="A112" s="550" t="str">
        <f t="shared" si="4"/>
        <v>03-C-107</v>
      </c>
      <c r="B112" s="787" t="str">
        <f t="shared" ca="1" si="7"/>
        <v>voor het goed voorspellen van het aantal gescoorde doelpunten per spelend team, mits de TOTO juist</v>
      </c>
      <c r="C112" s="855" t="str">
        <f t="shared" si="8"/>
        <v>voor het goed voorspellen van het aantal gescoorde doelpunten per spelend team, mits de TOTO juist</v>
      </c>
      <c r="D112" s="855" t="str">
        <f t="shared" si="8"/>
        <v>for correctly predicting the number of goals scored per team, provided that you have correctly predicted</v>
      </c>
      <c r="E112" s="855" t="str">
        <f t="shared" si="8"/>
        <v>für die korrekte Vorhersage der Anzahl der pro Mannschaft erzielten Tore, vorausgesetzt, Sie haben richtig vorhergesagt</v>
      </c>
      <c r="F112" s="855" t="str">
        <f t="shared" si="8"/>
        <v>för att korrekt antal mål per spelande lag har förutspåtts, förutsagt att du fyllde i rätt</v>
      </c>
    </row>
    <row r="113" spans="1:6" s="538" customFormat="1" x14ac:dyDescent="0.25">
      <c r="A113" s="549" t="str">
        <f t="shared" si="4"/>
        <v>03-C-108</v>
      </c>
      <c r="B113" s="788" t="str">
        <f t="shared" ca="1" si="7"/>
        <v>is voorspeld.</v>
      </c>
      <c r="C113" s="856" t="str">
        <f t="shared" si="8"/>
        <v>is voorspeld.</v>
      </c>
      <c r="D113" s="856" t="str">
        <f t="shared" si="8"/>
        <v>the TOTO.</v>
      </c>
      <c r="E113" s="856" t="str">
        <f t="shared" si="8"/>
        <v>der TOTO.</v>
      </c>
      <c r="F113" s="856" t="str">
        <f t="shared" si="8"/>
        <v>"1X2"</v>
      </c>
    </row>
    <row r="114" spans="1:6" s="537" customFormat="1" x14ac:dyDescent="0.25">
      <c r="A114" s="550" t="str">
        <f t="shared" si="4"/>
        <v>03-C-109</v>
      </c>
      <c r="B114" s="787" t="str">
        <f t="shared" ca="1" si="7"/>
        <v>Bij de finalewedstrijden is het niet noodzakelijk om de landen juist voorspeld te hebben om aanspraak te maken</v>
      </c>
      <c r="C114" s="855" t="str">
        <f t="shared" ref="C114:F116" si="9">C81</f>
        <v>Bij de finalewedstrijden is het niet noodzakelijk om de landen juist voorspeld te hebben om aanspraak te maken</v>
      </c>
      <c r="D114" s="857" t="str">
        <f t="shared" si="9"/>
        <v>In the knockout phase, it is not necessary to have correctly predicted the countries to claim points for</v>
      </c>
      <c r="E114" s="855" t="str">
        <f t="shared" si="9"/>
        <v>In der K.-o.-Phase ist es nicht erforderlich, die Länder richtig vorhergesagt zu haben, um Punkte zu beanspruchen</v>
      </c>
      <c r="F114" s="855" t="str">
        <f t="shared" si="9"/>
        <v>I slutspelet är det inte nödvändigt att ha förutspått rätt länder för att kunna kräva</v>
      </c>
    </row>
    <row r="115" spans="1:6" s="538" customFormat="1" x14ac:dyDescent="0.25">
      <c r="A115" s="549" t="str">
        <f t="shared" si="4"/>
        <v>03-C-110</v>
      </c>
      <c r="B115" s="788" t="str">
        <f t="shared" ca="1" si="7"/>
        <v>Bij de finalewedstrijden dient men één of beide landen juist voorspeld te hebben om aanspraak te maken</v>
      </c>
      <c r="C115" s="856" t="str">
        <f t="shared" si="9"/>
        <v>Bij de finalewedstrijden dient men één of beide landen juist voorspeld te hebben om aanspraak te maken</v>
      </c>
      <c r="D115" s="856" t="str">
        <f t="shared" si="9"/>
        <v>In the knockout phase, one or both countries must have been correctly predicted in order to claim points for</v>
      </c>
      <c r="E115" s="856" t="str">
        <f t="shared" si="9"/>
        <v>In der K.-o.-Phase müssen ein oder beide Länder richtig vorhergesagt worden sein, um Punkte für</v>
      </c>
      <c r="F115" s="856" t="str">
        <f t="shared" si="9"/>
        <v>I slutspelet krävs att ett eller både länder har förutspåtts rätt för att kunna kräva</v>
      </c>
    </row>
    <row r="116" spans="1:6" s="537" customFormat="1" x14ac:dyDescent="0.25">
      <c r="A116" s="550" t="str">
        <f t="shared" si="4"/>
        <v>03-C-111</v>
      </c>
      <c r="B116" s="787" t="str">
        <f t="shared" ca="1" si="7"/>
        <v>Bij de finalewedstrijden dient men beide landen juist voorspeld te hebben om aanspraak te maken</v>
      </c>
      <c r="C116" s="855" t="str">
        <f t="shared" si="9"/>
        <v>Bij de finalewedstrijden dient men beide landen juist voorspeld te hebben om aanspraak te maken</v>
      </c>
      <c r="D116" s="855" t="str">
        <f t="shared" si="9"/>
        <v>In the knockout phase, both countries must have been correctly predicted in order to claim points for</v>
      </c>
      <c r="E116" s="855" t="str">
        <f t="shared" si="9"/>
        <v>In der K.-o.-Phase müssen beide Länder richtig vorhergesagt worden sein, um Punkte für</v>
      </c>
      <c r="F116" s="855" t="str">
        <f t="shared" si="9"/>
        <v>I finalen måste båda länder ha förutspåtts rätt för att kunna kräva</v>
      </c>
    </row>
    <row r="117" spans="1:6" s="538" customFormat="1" x14ac:dyDescent="0.25">
      <c r="A117" s="549" t="str">
        <f t="shared" si="4"/>
        <v>03-C-112</v>
      </c>
      <c r="B117" s="788" t="str">
        <f t="shared" ca="1" si="7"/>
        <v>op de punten voor het juist voorspellen van de TOTO en/of eindstand.</v>
      </c>
      <c r="C117" s="538" t="s">
        <v>1925</v>
      </c>
      <c r="D117" s="538" t="s">
        <v>1917</v>
      </c>
      <c r="E117" s="538" t="s">
        <v>1918</v>
      </c>
      <c r="F117" s="538" t="s">
        <v>1919</v>
      </c>
    </row>
    <row r="118" spans="1:6" s="537" customFormat="1" x14ac:dyDescent="0.25">
      <c r="A118" s="550" t="str">
        <f t="shared" si="4"/>
        <v>03-C-113</v>
      </c>
      <c r="B118" s="787" t="str">
        <f t="shared" ca="1" si="7"/>
        <v>op de punten voor het juist voorspellen van de TOTO.</v>
      </c>
      <c r="C118" s="855" t="str">
        <f>C84</f>
        <v>op de punten voor het juist voorspellen van de TOTO.</v>
      </c>
      <c r="D118" s="855" t="str">
        <f>D84</f>
        <v>predicting the TOTO.</v>
      </c>
      <c r="E118" s="855" t="str">
        <f>E84</f>
        <v>Vorhersage des TOTO.</v>
      </c>
      <c r="F118" s="855" t="str">
        <f>F84</f>
        <v>poäng för att ha förutspått korrekt "1X2".</v>
      </c>
    </row>
    <row r="119" spans="1:6" s="538" customFormat="1" x14ac:dyDescent="0.25">
      <c r="A119" s="549" t="str">
        <f t="shared" si="4"/>
        <v>03-C-114</v>
      </c>
      <c r="B119" s="788" t="str">
        <f t="shared" ca="1" si="7"/>
        <v>Bij het voorspellen van de eindstand krijgt men enkel punten voor het juist voorspelde land tijdens de finales.</v>
      </c>
      <c r="C119" s="538" t="s">
        <v>1920</v>
      </c>
      <c r="D119" s="538" t="s">
        <v>1921</v>
      </c>
      <c r="E119" s="538" t="s">
        <v>1922</v>
      </c>
      <c r="F119" s="538" t="s">
        <v>2172</v>
      </c>
    </row>
    <row r="120" spans="1:6" s="537" customFormat="1" x14ac:dyDescent="0.25">
      <c r="A120" s="550" t="str">
        <f t="shared" si="4"/>
        <v>03-C-115</v>
      </c>
      <c r="B120" s="787" t="str">
        <f ca="1">TRIM(INDIRECT(CHAR(64+$C$2)&amp;ROW()))</f>
        <v>op de punten voor het juist voorspellen van de eindstand.</v>
      </c>
      <c r="C120" s="537" t="s">
        <v>2162</v>
      </c>
      <c r="D120" s="537" t="s">
        <v>2163</v>
      </c>
      <c r="E120" s="537" t="s">
        <v>2164</v>
      </c>
      <c r="F120" s="537" t="s">
        <v>2165</v>
      </c>
    </row>
    <row r="121" spans="1:6" s="553" customFormat="1" x14ac:dyDescent="0.25">
      <c r="A121" s="551" t="str">
        <f t="shared" si="4"/>
        <v>03-C-116</v>
      </c>
      <c r="B121" s="802"/>
    </row>
    <row r="122" spans="1:6" s="554" customFormat="1" x14ac:dyDescent="0.25">
      <c r="A122" s="552" t="str">
        <f t="shared" si="4"/>
        <v>03-C-117</v>
      </c>
      <c r="B122" s="803"/>
    </row>
    <row r="123" spans="1:6" s="541" customFormat="1" x14ac:dyDescent="0.25">
      <c r="A123" s="539" t="str">
        <f t="shared" si="4"/>
        <v>03-C-118</v>
      </c>
      <c r="B123" s="791"/>
      <c r="F123" s="541" t="s">
        <v>322</v>
      </c>
    </row>
    <row r="124" spans="1:6" s="544" customFormat="1" x14ac:dyDescent="0.25">
      <c r="A124" s="542" t="str">
        <f t="shared" si="4"/>
        <v>03-C-119</v>
      </c>
      <c r="B124" s="790"/>
      <c r="F124" s="544" t="s">
        <v>322</v>
      </c>
    </row>
    <row r="125" spans="1:6" s="571" customFormat="1" x14ac:dyDescent="0.25">
      <c r="A125" s="549" t="str">
        <f t="shared" si="4"/>
        <v>03-C-120</v>
      </c>
      <c r="B125" s="795" t="str">
        <f t="shared" ref="B125:B147" ca="1" si="10">TRIM(INDIRECT(CHAR(64+$C$2)&amp;ROW()))</f>
        <v>Bonuspunten</v>
      </c>
      <c r="C125" s="571" t="s">
        <v>707</v>
      </c>
      <c r="D125" s="571" t="s">
        <v>708</v>
      </c>
      <c r="E125" s="571" t="s">
        <v>1348</v>
      </c>
      <c r="F125" s="571" t="s">
        <v>1664</v>
      </c>
    </row>
    <row r="126" spans="1:6" s="537" customFormat="1" x14ac:dyDescent="0.25">
      <c r="A126" s="550" t="str">
        <f t="shared" si="4"/>
        <v>03-C-121</v>
      </c>
      <c r="B126" s="787" t="str">
        <f t="shared" ca="1" si="10"/>
        <v>Bonus$$$ voor iedere finalewedstrijd waarbij beide landen op de juiste positie zijn voorspeld.</v>
      </c>
      <c r="C126" s="537" t="s">
        <v>709</v>
      </c>
      <c r="D126" s="537" t="s">
        <v>1199</v>
      </c>
      <c r="E126" s="537" t="s">
        <v>1349</v>
      </c>
      <c r="F126" s="537" t="s">
        <v>1665</v>
      </c>
    </row>
    <row r="127" spans="1:6" s="538" customFormat="1" x14ac:dyDescent="0.25">
      <c r="A127" s="539" t="str">
        <f t="shared" si="4"/>
        <v>03-C-122</v>
      </c>
      <c r="B127" s="788" t="str">
        <f t="shared" ca="1" si="10"/>
        <v/>
      </c>
    </row>
    <row r="128" spans="1:6" s="537" customFormat="1" x14ac:dyDescent="0.25">
      <c r="A128" s="550" t="str">
        <f t="shared" si="4"/>
        <v>03-C-123</v>
      </c>
      <c r="B128" s="787" t="str">
        <f t="shared" ca="1" si="10"/>
        <v>Bonus$$$ voor iedere finalewedstrijd waarbij zowel de TOTO als de beide landen juist zijn voorspeld.</v>
      </c>
      <c r="C128" s="537" t="s">
        <v>710</v>
      </c>
      <c r="D128" s="537" t="s">
        <v>1200</v>
      </c>
      <c r="E128" s="537" t="s">
        <v>1956</v>
      </c>
      <c r="F128" s="537" t="s">
        <v>1666</v>
      </c>
    </row>
    <row r="129" spans="1:6" s="538" customFormat="1" x14ac:dyDescent="0.25">
      <c r="A129" s="539" t="str">
        <f t="shared" si="4"/>
        <v>03-C-124</v>
      </c>
      <c r="B129" s="788" t="str">
        <f t="shared" ca="1" si="10"/>
        <v/>
      </c>
    </row>
    <row r="130" spans="1:6" s="537" customFormat="1" x14ac:dyDescent="0.25">
      <c r="A130" s="550" t="str">
        <f t="shared" si="4"/>
        <v>03-C-125</v>
      </c>
      <c r="B130" s="787" t="str">
        <f t="shared" ca="1" si="10"/>
        <v>Bonus$$$ voor iedere groepswedstrijd waarbij de uitslag juist is voorspeld.</v>
      </c>
      <c r="C130" s="537" t="s">
        <v>1930</v>
      </c>
      <c r="D130" s="537" t="s">
        <v>1931</v>
      </c>
      <c r="E130" s="537" t="s">
        <v>1932</v>
      </c>
      <c r="F130" s="537" t="s">
        <v>1933</v>
      </c>
    </row>
    <row r="131" spans="1:6" s="538" customFormat="1" x14ac:dyDescent="0.25">
      <c r="A131" s="539" t="str">
        <f t="shared" si="4"/>
        <v>03-C-126</v>
      </c>
      <c r="B131" s="788" t="str">
        <f t="shared" ca="1" si="10"/>
        <v/>
      </c>
    </row>
    <row r="132" spans="1:6" s="537" customFormat="1" x14ac:dyDescent="0.25">
      <c r="A132" s="550" t="str">
        <f t="shared" si="4"/>
        <v>03-C-127</v>
      </c>
      <c r="B132" s="787" t="str">
        <f t="shared" ca="1" si="10"/>
        <v>Bonus$$$ voor iedere groeps- en finalewedstrijd waarbij de uitslag juist is voorspeld.</v>
      </c>
      <c r="C132" s="537" t="s">
        <v>1934</v>
      </c>
      <c r="D132" s="537" t="s">
        <v>1935</v>
      </c>
      <c r="E132" s="537" t="s">
        <v>1936</v>
      </c>
      <c r="F132" s="537" t="s">
        <v>1937</v>
      </c>
    </row>
    <row r="133" spans="1:6" s="538" customFormat="1" x14ac:dyDescent="0.25">
      <c r="A133" s="539" t="str">
        <f t="shared" si="4"/>
        <v>03-C-128</v>
      </c>
      <c r="B133" s="788" t="str">
        <f t="shared" ca="1" si="10"/>
        <v/>
      </c>
    </row>
    <row r="134" spans="1:6" s="537" customFormat="1" x14ac:dyDescent="0.25">
      <c r="A134" s="550" t="str">
        <f t="shared" si="4"/>
        <v>03-C-129</v>
      </c>
      <c r="B134" s="787" t="str">
        <f t="shared" ca="1" si="10"/>
        <v>Bonus$$$ voor iedere groeps- en finalewedstrijd waarbij de uitslag juist is voorspeld</v>
      </c>
      <c r="C134" s="537" t="s">
        <v>1938</v>
      </c>
      <c r="D134" s="537" t="s">
        <v>1939</v>
      </c>
      <c r="E134" s="537" t="s">
        <v>1940</v>
      </c>
      <c r="F134" s="537" t="s">
        <v>1941</v>
      </c>
    </row>
    <row r="135" spans="1:6" s="538" customFormat="1" x14ac:dyDescent="0.25">
      <c r="A135" s="549" t="str">
        <f t="shared" si="4"/>
        <v>03-C-130</v>
      </c>
      <c r="B135" s="788" t="str">
        <f t="shared" ca="1" si="10"/>
        <v>(bij de finalewedstrijden dienen ook één of beide landen juist voorspeld te zijn).</v>
      </c>
      <c r="C135" s="538" t="s">
        <v>1942</v>
      </c>
      <c r="D135" s="538" t="s">
        <v>1943</v>
      </c>
      <c r="E135" s="538" t="s">
        <v>1944</v>
      </c>
      <c r="F135" s="538" t="s">
        <v>1945</v>
      </c>
    </row>
    <row r="136" spans="1:6" s="537" customFormat="1" x14ac:dyDescent="0.25">
      <c r="A136" s="550" t="str">
        <f t="shared" si="4"/>
        <v>03-C-131</v>
      </c>
      <c r="B136" s="787" t="str">
        <f t="shared" ca="1" si="10"/>
        <v>Bonus$$$ voor iedere groeps- en finalewedstrijd waarbij de uitslag juist is voorspeld</v>
      </c>
      <c r="C136" s="855" t="str">
        <f>C134</f>
        <v>Bonus$$$ voor iedere groeps- en finalewedstrijd waarbij de uitslag juist is voorspeld</v>
      </c>
      <c r="D136" s="855" t="str">
        <f>D134</f>
        <v>Bonus $$$ for each group and final match where the result is correctly predicted</v>
      </c>
      <c r="E136" s="855" t="str">
        <f>E134</f>
        <v>Bonus $$$ für jedes Gruppen- und Endspiel, bei dem das Ergebnis korrekt vorhergesagt wird</v>
      </c>
      <c r="F136" s="855" t="str">
        <f>F134</f>
        <v>Bonus $$$ för varje grupp och finalmatch där resultat ar korrekt förutspått</v>
      </c>
    </row>
    <row r="137" spans="1:6" s="538" customFormat="1" x14ac:dyDescent="0.25">
      <c r="A137" s="549" t="str">
        <f t="shared" si="4"/>
        <v>03-C-132</v>
      </c>
      <c r="B137" s="788" t="str">
        <f t="shared" ca="1" si="10"/>
        <v>(bij de finalewedstrijden dienen ook de beide landen juist voorspeld te zijn).</v>
      </c>
      <c r="C137" s="538" t="s">
        <v>716</v>
      </c>
      <c r="D137" s="538" t="s">
        <v>883</v>
      </c>
      <c r="E137" s="538" t="s">
        <v>1350</v>
      </c>
      <c r="F137" s="538" t="s">
        <v>1667</v>
      </c>
    </row>
    <row r="138" spans="1:6" s="537" customFormat="1" x14ac:dyDescent="0.25">
      <c r="A138" s="550" t="str">
        <f t="shared" si="4"/>
        <v>03-C-133</v>
      </c>
      <c r="B138" s="787" t="str">
        <f t="shared" ca="1" si="10"/>
        <v>Bonus$$$ voor iedere groepswedstrijd waarbij het doelpuntenverschil tussen beide teams juist is voorspeld.</v>
      </c>
      <c r="C138" s="537" t="s">
        <v>2015</v>
      </c>
      <c r="D138" s="537" t="s">
        <v>1946</v>
      </c>
      <c r="E138" s="537" t="s">
        <v>1947</v>
      </c>
      <c r="F138" s="537" t="s">
        <v>1948</v>
      </c>
    </row>
    <row r="139" spans="1:6" s="538" customFormat="1" x14ac:dyDescent="0.25">
      <c r="A139" s="539" t="str">
        <f t="shared" si="4"/>
        <v>03-C-134</v>
      </c>
      <c r="B139" s="788" t="str">
        <f t="shared" ca="1" si="10"/>
        <v/>
      </c>
    </row>
    <row r="140" spans="1:6" s="537" customFormat="1" x14ac:dyDescent="0.25">
      <c r="A140" s="550" t="str">
        <f t="shared" si="4"/>
        <v>03-C-135</v>
      </c>
      <c r="B140" s="787" t="str">
        <f t="shared" ca="1" si="10"/>
        <v>Bonus$$$ voor iedere groeps- en finalewedstrijd waarbij het doelpuntenverschil tussen beide teams juist is voorspeld.</v>
      </c>
      <c r="C140" s="537" t="s">
        <v>2016</v>
      </c>
      <c r="D140" s="537" t="s">
        <v>1957</v>
      </c>
      <c r="E140" s="537" t="s">
        <v>1958</v>
      </c>
      <c r="F140" s="537" t="s">
        <v>1949</v>
      </c>
    </row>
    <row r="141" spans="1:6" s="538" customFormat="1" x14ac:dyDescent="0.25">
      <c r="A141" s="549" t="str">
        <f t="shared" si="4"/>
        <v>03-C-136</v>
      </c>
      <c r="B141" s="788" t="str">
        <f t="shared" ca="1" si="10"/>
        <v/>
      </c>
      <c r="D141" s="538" t="s">
        <v>1959</v>
      </c>
      <c r="E141" s="538" t="s">
        <v>1960</v>
      </c>
    </row>
    <row r="142" spans="1:6" s="537" customFormat="1" x14ac:dyDescent="0.25">
      <c r="A142" s="550" t="str">
        <f t="shared" si="4"/>
        <v>03-C-137</v>
      </c>
      <c r="B142" s="787" t="str">
        <f t="shared" ca="1" si="10"/>
        <v>Bonus$$$ voor iedere groeps- en finalewedstrijd waarbij het doelpuntenverschil tussen beide teams juist is voorspeld</v>
      </c>
      <c r="C142" s="537" t="s">
        <v>2017</v>
      </c>
      <c r="D142" s="537" t="s">
        <v>1957</v>
      </c>
      <c r="E142" s="537" t="s">
        <v>1958</v>
      </c>
      <c r="F142" s="537" t="s">
        <v>1950</v>
      </c>
    </row>
    <row r="143" spans="1:6" s="538" customFormat="1" x14ac:dyDescent="0.25">
      <c r="A143" s="539" t="str">
        <f t="shared" si="4"/>
        <v>03-C-138</v>
      </c>
      <c r="B143" s="788" t="str">
        <f t="shared" ca="1" si="10"/>
        <v>(bij de finalewedstrijden dienen ook één of beide landen juist voorspeld te zijn).</v>
      </c>
      <c r="C143" s="856" t="str">
        <f>C135</f>
        <v>(bij de finalewedstrijden dienen ook één of beide landen juist voorspeld te zijn).</v>
      </c>
      <c r="D143" s="856" t="str">
        <f>"predicted "&amp;D135</f>
        <v>predicted (in the knockout phase, one or both countries must also have been correctly predicted).</v>
      </c>
      <c r="E143" s="856" t="str">
        <f>"vorhergesagt wird "&amp;E135</f>
        <v>vorhergesagt wird (In der Ko-Phase müssen ein oder beide Länder ebenfalls korrekt vorhergesagt worden sein).</v>
      </c>
      <c r="F143" s="856" t="str">
        <f>F135</f>
        <v>(I slutspelet måste ett eller båda länderna ha förutspåtts korrekt).</v>
      </c>
    </row>
    <row r="144" spans="1:6" s="537" customFormat="1" x14ac:dyDescent="0.25">
      <c r="A144" s="550" t="str">
        <f t="shared" si="4"/>
        <v>03-C-139</v>
      </c>
      <c r="B144" s="787" t="str">
        <f t="shared" ca="1" si="10"/>
        <v>Bonus$$$ voor iedere groeps- en finalewedstrijd waarbij het doelpuntenverschil tussen beide teams juist is voorspeld</v>
      </c>
      <c r="C144" s="855" t="str">
        <f>C142</f>
        <v>Bonus$$$ voor iedere groeps- en finalewedstrijd waarbij het doelpuntenverschil tussen beide teams juist is voorspeld</v>
      </c>
      <c r="D144" s="855" t="str">
        <f>D142</f>
        <v>Bonus $$$ for every group and final match where the goal difference between the two teams is correctly</v>
      </c>
      <c r="E144" s="855" t="str">
        <f>E142</f>
        <v>Bonus $$$ für jedes Gruppen- und Endspiel, bei dem die Tordifferenz zwischen den beiden Teams richtig</v>
      </c>
      <c r="F144" s="855" t="str">
        <f>F142</f>
        <v>Bonus $$$ för varje grupp och finalmatch där målskillnaden mellan de två lagen är korrekt förutspådd</v>
      </c>
    </row>
    <row r="145" spans="1:6" s="538" customFormat="1" x14ac:dyDescent="0.25">
      <c r="A145" s="549" t="str">
        <f t="shared" si="4"/>
        <v>03-C-140</v>
      </c>
      <c r="B145" s="788" t="str">
        <f t="shared" ca="1" si="10"/>
        <v>(bij de finalewedstrijden dienen ook de beide landen juist voorspeld te zijn).</v>
      </c>
      <c r="C145" s="856" t="str">
        <f>C137</f>
        <v>(bij de finalewedstrijden dienen ook de beide landen juist voorspeld te zijn).</v>
      </c>
      <c r="D145" s="856" t="str">
        <f>"predicted "&amp;D137</f>
        <v>predicted (in the knockout phase, both countries must also have been correctly predicted).</v>
      </c>
      <c r="E145" s="856" t="str">
        <f>"vorhergesagt wird "&amp;E137</f>
        <v>vorhergesagt wird (In der Ko-Phase müssen beide Länder ebenfalls korrekt vorhergesagt worden sein).</v>
      </c>
      <c r="F145" s="856" t="str">
        <f>F137</f>
        <v>(I slutspelet skall båda länderna ha förutspåtts korrekt).</v>
      </c>
    </row>
    <row r="146" spans="1:6" s="537" customFormat="1" x14ac:dyDescent="0.25">
      <c r="A146" s="550" t="str">
        <f t="shared" si="4"/>
        <v>03-C-141</v>
      </c>
      <c r="B146" s="787" t="str">
        <f t="shared" ca="1" si="10"/>
        <v>Bonus$$$ voor het volledig juist voorspellen van alle landen bij de eindstand van één groep.</v>
      </c>
      <c r="C146" s="537" t="s">
        <v>2174</v>
      </c>
      <c r="D146" s="537" t="s">
        <v>2175</v>
      </c>
      <c r="E146" s="537" t="s">
        <v>1951</v>
      </c>
      <c r="F146" s="537" t="s">
        <v>1952</v>
      </c>
    </row>
    <row r="147" spans="1:6" s="538" customFormat="1" x14ac:dyDescent="0.25">
      <c r="A147" s="539" t="str">
        <f t="shared" si="4"/>
        <v>03-C-142</v>
      </c>
      <c r="B147" s="788" t="str">
        <f t="shared" ca="1" si="10"/>
        <v/>
      </c>
    </row>
    <row r="148" spans="1:6" s="537" customFormat="1" x14ac:dyDescent="0.25">
      <c r="A148" s="542" t="str">
        <f t="shared" si="4"/>
        <v>03-C-143</v>
      </c>
      <c r="B148" s="787"/>
      <c r="F148" s="537" t="s">
        <v>322</v>
      </c>
    </row>
    <row r="149" spans="1:6" s="538" customFormat="1" x14ac:dyDescent="0.25">
      <c r="A149" s="539" t="str">
        <f t="shared" si="4"/>
        <v>03-C-144</v>
      </c>
      <c r="B149" s="788"/>
      <c r="F149" s="538" t="s">
        <v>322</v>
      </c>
    </row>
    <row r="150" spans="1:6" s="569" customFormat="1" x14ac:dyDescent="0.25">
      <c r="A150" s="568" t="str">
        <f>LEFT(A127,5)&amp;RIGHT("000"&amp;RIGHT(A127,3)*1+1,3)</f>
        <v>03-C-123</v>
      </c>
      <c r="B150" s="794" t="str">
        <f ca="1">TRIM(INDIRECT(CHAR(64+$C$2)&amp;ROW()))</f>
        <v>De bonusvragen</v>
      </c>
      <c r="C150" s="569" t="s">
        <v>711</v>
      </c>
      <c r="D150" s="569" t="s">
        <v>712</v>
      </c>
      <c r="E150" s="569" t="s">
        <v>1351</v>
      </c>
      <c r="F150" s="569" t="s">
        <v>1668</v>
      </c>
    </row>
    <row r="151" spans="1:6" s="538" customFormat="1" x14ac:dyDescent="0.25">
      <c r="A151" s="549" t="str">
        <f t="shared" si="4"/>
        <v>03-C-124</v>
      </c>
      <c r="B151" s="788" t="str">
        <f ca="1">TRIM(INDIRECT(CHAR(64+$C$2)&amp;ROW()))</f>
        <v>Zie het werkblad met de bonusvragen voor de puntentelling bij het juist beantwoorden van de bonusvragen.</v>
      </c>
      <c r="C151" s="538" t="s">
        <v>771</v>
      </c>
      <c r="D151" s="538" t="s">
        <v>713</v>
      </c>
      <c r="E151" s="538" t="s">
        <v>1352</v>
      </c>
      <c r="F151" s="538" t="s">
        <v>1669</v>
      </c>
    </row>
    <row r="152" spans="1:6" s="537" customFormat="1" x14ac:dyDescent="0.25">
      <c r="A152" s="550" t="str">
        <f t="shared" si="4"/>
        <v>03-C-125</v>
      </c>
      <c r="B152" s="787" t="str">
        <f ca="1">TRIM(INDIRECT(CHAR(64+$C$2)&amp;ROW()))</f>
        <v>Zie de pagina met de bonusvragen voor de puntentelling bij het juist beantwoorden van de bonusvragen.</v>
      </c>
      <c r="C152" s="537" t="s">
        <v>772</v>
      </c>
      <c r="D152" s="537" t="s">
        <v>714</v>
      </c>
      <c r="E152" s="537" t="s">
        <v>1353</v>
      </c>
      <c r="F152" s="537" t="s">
        <v>1670</v>
      </c>
    </row>
    <row r="153" spans="1:6" s="538" customFormat="1" x14ac:dyDescent="0.25">
      <c r="A153" s="549" t="str">
        <f t="shared" si="4"/>
        <v>03-C-126</v>
      </c>
      <c r="B153" s="788" t="str">
        <f ca="1">TRIM(INDIRECT(CHAR(64+$C$2)&amp;ROW()))</f>
        <v>De punten voor de bonusvragen worden pas meegeteld als de winnaar van het EK bekend is.</v>
      </c>
      <c r="C153" s="538" t="s">
        <v>2394</v>
      </c>
      <c r="D153" s="538" t="s">
        <v>2395</v>
      </c>
      <c r="E153" s="538" t="s">
        <v>2396</v>
      </c>
      <c r="F153" s="538" t="s">
        <v>2397</v>
      </c>
    </row>
    <row r="154" spans="1:6" s="537" customFormat="1" x14ac:dyDescent="0.25">
      <c r="A154" s="542" t="str">
        <f t="shared" si="4"/>
        <v>03-C-127</v>
      </c>
      <c r="B154" s="787"/>
      <c r="F154" s="537" t="s">
        <v>322</v>
      </c>
    </row>
    <row r="155" spans="1:6" s="538" customFormat="1" x14ac:dyDescent="0.25">
      <c r="A155" s="549" t="str">
        <f t="shared" si="4"/>
        <v>03-C-128</v>
      </c>
      <c r="B155" s="788" t="str">
        <f ca="1">IF(C1=1,"",TRIM(INDIRECT(CHAR(64+$C$2)&amp;ROW())))</f>
        <v/>
      </c>
      <c r="C155" s="538" t="s">
        <v>1047</v>
      </c>
      <c r="D155" s="538" t="s">
        <v>1046</v>
      </c>
      <c r="E155" s="538" t="s">
        <v>1354</v>
      </c>
      <c r="F155" s="538" t="s">
        <v>1671</v>
      </c>
    </row>
    <row r="156" spans="1:6" s="537" customFormat="1" x14ac:dyDescent="0.25">
      <c r="A156" s="542" t="str">
        <f t="shared" si="4"/>
        <v>03-C-129</v>
      </c>
      <c r="B156" s="787"/>
    </row>
    <row r="157" spans="1:6" s="538" customFormat="1" x14ac:dyDescent="0.25">
      <c r="A157" s="539" t="str">
        <f t="shared" si="4"/>
        <v>03-C-130</v>
      </c>
      <c r="B157" s="788"/>
    </row>
    <row r="158" spans="1:6" s="537" customFormat="1" x14ac:dyDescent="0.25">
      <c r="A158" s="542" t="str">
        <f t="shared" si="4"/>
        <v>03-C-131</v>
      </c>
      <c r="B158" s="787"/>
    </row>
    <row r="159" spans="1:6" s="538" customFormat="1" x14ac:dyDescent="0.25">
      <c r="A159" s="562" t="str">
        <f t="shared" si="4"/>
        <v>03-C-132</v>
      </c>
      <c r="B159" s="785" t="str">
        <f t="shared" ref="B159:B195" ca="1" si="11">TRIM(INDIRECT(CHAR(64+$C$2)&amp;ROW()))</f>
        <v>De Prijzenpot</v>
      </c>
      <c r="C159" s="563" t="s">
        <v>717</v>
      </c>
      <c r="D159" s="563" t="s">
        <v>718</v>
      </c>
      <c r="E159" s="563" t="s">
        <v>1355</v>
      </c>
      <c r="F159" s="563" t="s">
        <v>1561</v>
      </c>
    </row>
    <row r="160" spans="1:6" s="537" customFormat="1" x14ac:dyDescent="0.25">
      <c r="A160" s="550" t="str">
        <f t="shared" si="4"/>
        <v>03-C-133</v>
      </c>
      <c r="B160" s="787" t="str">
        <f t="shared" ca="1" si="11"/>
        <v>Om deel te nemen aan deze pool bent u verplicht de vastgestelde inleg te betalen. De vastgestelde inleg</v>
      </c>
      <c r="C160" s="537" t="s">
        <v>719</v>
      </c>
      <c r="D160" s="537" t="s">
        <v>735</v>
      </c>
      <c r="E160" s="537" t="s">
        <v>1356</v>
      </c>
      <c r="F160" s="537" t="s">
        <v>1672</v>
      </c>
    </row>
    <row r="161" spans="1:6" s="538" customFormat="1" x14ac:dyDescent="0.25">
      <c r="A161" s="549" t="str">
        <f t="shared" si="4"/>
        <v>03-C-134</v>
      </c>
      <c r="B161" s="788" t="str">
        <f t="shared" ca="1" si="11"/>
        <v>voor deze pool is ###.</v>
      </c>
      <c r="C161" s="538" t="s">
        <v>757</v>
      </c>
      <c r="D161" s="538" t="s">
        <v>759</v>
      </c>
      <c r="E161" s="538" t="s">
        <v>1357</v>
      </c>
      <c r="F161" s="538" t="s">
        <v>1673</v>
      </c>
    </row>
    <row r="162" spans="1:6" s="537" customFormat="1" x14ac:dyDescent="0.25">
      <c r="A162" s="550" t="str">
        <f t="shared" si="4"/>
        <v>03-C-135</v>
      </c>
      <c r="B162" s="787" t="str">
        <f t="shared" ca="1" si="11"/>
        <v>De inleg voor deelname aan deze pool is ###. U kunt er ook voor kiezen om zonder inleg deel te nemen</v>
      </c>
      <c r="C162" s="537" t="s">
        <v>758</v>
      </c>
      <c r="D162" s="537" t="s">
        <v>760</v>
      </c>
      <c r="E162" s="537" t="s">
        <v>1358</v>
      </c>
      <c r="F162" s="537" t="s">
        <v>1674</v>
      </c>
    </row>
    <row r="163" spans="1:6" s="538" customFormat="1" x14ac:dyDescent="0.25">
      <c r="A163" s="549" t="str">
        <f t="shared" si="4"/>
        <v>03-C-136</v>
      </c>
      <c r="B163" s="788" t="str">
        <f t="shared" ca="1" si="11"/>
        <v>aan deze pool. U kunt dan ook geen aanspraak maken op de prijzenpot aan het einde van het toernooi¹.</v>
      </c>
      <c r="C163" s="538" t="s">
        <v>733</v>
      </c>
      <c r="D163" s="538" t="s">
        <v>736</v>
      </c>
      <c r="E163" s="538" t="s">
        <v>1359</v>
      </c>
      <c r="F163" s="538" t="s">
        <v>1675</v>
      </c>
    </row>
    <row r="164" spans="1:6" s="537" customFormat="1" x14ac:dyDescent="0.25">
      <c r="A164" s="550" t="str">
        <f t="shared" si="4"/>
        <v>03-C-137</v>
      </c>
      <c r="B164" s="787" t="str">
        <f t="shared" ca="1" si="11"/>
        <v>Deelname aan deze pool is kosteloos. Om aanspraak te maken op de prijzenpot is dan ook geen inleg</v>
      </c>
      <c r="C164" s="537" t="s">
        <v>721</v>
      </c>
      <c r="D164" s="537" t="s">
        <v>738</v>
      </c>
      <c r="E164" s="537" t="s">
        <v>1360</v>
      </c>
      <c r="F164" s="537" t="s">
        <v>1676</v>
      </c>
    </row>
    <row r="165" spans="1:6" s="538" customFormat="1" x14ac:dyDescent="0.25">
      <c r="A165" s="549" t="str">
        <f t="shared" si="4"/>
        <v>03-C-138</v>
      </c>
      <c r="B165" s="788" t="str">
        <f t="shared" ca="1" si="11"/>
        <v>noodzakelijk.</v>
      </c>
      <c r="C165" s="538" t="s">
        <v>720</v>
      </c>
      <c r="D165" s="538" t="s">
        <v>737</v>
      </c>
      <c r="E165" s="538" t="s">
        <v>1361</v>
      </c>
      <c r="F165" s="538" t="s">
        <v>1677</v>
      </c>
    </row>
    <row r="166" spans="1:6" s="537" customFormat="1" x14ac:dyDescent="0.25">
      <c r="A166" s="550" t="str">
        <f t="shared" si="4"/>
        <v>03-C-139</v>
      </c>
      <c r="B166" s="787" t="str">
        <f t="shared" ca="1" si="11"/>
        <v>De inleg dient voor aanvang van het toernooi betaald te worden aan de organisator.</v>
      </c>
      <c r="C166" s="537" t="s">
        <v>776</v>
      </c>
      <c r="D166" s="537" t="s">
        <v>788</v>
      </c>
      <c r="E166" s="537" t="s">
        <v>1362</v>
      </c>
      <c r="F166" s="537" t="s">
        <v>1678</v>
      </c>
    </row>
    <row r="167" spans="1:6" s="538" customFormat="1" x14ac:dyDescent="0.25">
      <c r="A167" s="549" t="str">
        <f t="shared" ref="A167:A232" si="12">LEFT(A166,5)&amp;RIGHT("000"&amp;RIGHT(A166,3)*1+1,3)</f>
        <v>03-C-140</v>
      </c>
      <c r="B167" s="788" t="str">
        <f t="shared" ca="1" si="11"/>
        <v>Is dit niet op tijd gedaan dan zal uw deelname ongeldig worden verklaard.</v>
      </c>
      <c r="C167" s="538" t="s">
        <v>786</v>
      </c>
      <c r="D167" s="538" t="s">
        <v>787</v>
      </c>
      <c r="E167" s="538" t="s">
        <v>1363</v>
      </c>
      <c r="F167" s="538" t="s">
        <v>1679</v>
      </c>
    </row>
    <row r="168" spans="1:6" s="537" customFormat="1" x14ac:dyDescent="0.25">
      <c r="A168" s="550" t="str">
        <f t="shared" si="12"/>
        <v>03-C-141</v>
      </c>
      <c r="B168" s="787" t="str">
        <f t="shared" ca="1" si="11"/>
        <v>De eventuele inleg dient voor aanvang van het toernooi betaald te worden aan de organisator.</v>
      </c>
      <c r="C168" s="537" t="s">
        <v>774</v>
      </c>
      <c r="D168" s="537" t="s">
        <v>791</v>
      </c>
      <c r="E168" s="537" t="s">
        <v>1364</v>
      </c>
      <c r="F168" s="537" t="s">
        <v>1680</v>
      </c>
    </row>
    <row r="169" spans="1:6" s="538" customFormat="1" x14ac:dyDescent="0.25">
      <c r="A169" s="549" t="str">
        <f t="shared" si="12"/>
        <v>03-C-142</v>
      </c>
      <c r="B169" s="788" t="str">
        <f t="shared" ca="1" si="11"/>
        <v>Is dit niet op tijd gedaan dan zal u ook niet deelnemen in de prijzenpot.</v>
      </c>
      <c r="C169" s="538" t="s">
        <v>789</v>
      </c>
      <c r="D169" s="538" t="s">
        <v>790</v>
      </c>
      <c r="E169" s="538" t="s">
        <v>1365</v>
      </c>
      <c r="F169" s="538" t="s">
        <v>1681</v>
      </c>
    </row>
    <row r="170" spans="1:6" s="537" customFormat="1" x14ac:dyDescent="0.25">
      <c r="A170" s="550" t="str">
        <f t="shared" si="12"/>
        <v>03-C-143</v>
      </c>
      <c r="B170" s="787" t="str">
        <f t="shared" ca="1" si="11"/>
        <v>De inleg dient met door middel van een contante betaling te voldoen.</v>
      </c>
      <c r="C170" s="537" t="s">
        <v>780</v>
      </c>
      <c r="D170" s="537" t="s">
        <v>784</v>
      </c>
      <c r="E170" s="537" t="s">
        <v>1366</v>
      </c>
      <c r="F170" s="537" t="s">
        <v>1682</v>
      </c>
    </row>
    <row r="171" spans="1:6" s="538" customFormat="1" x14ac:dyDescent="0.25">
      <c r="A171" s="549" t="str">
        <f t="shared" si="12"/>
        <v>03-C-144</v>
      </c>
      <c r="B171" s="788" t="str">
        <f t="shared" ca="1" si="11"/>
        <v>De inleg dient door middel van een bankoverschrijving overgemaakt worden.</v>
      </c>
      <c r="C171" s="538" t="s">
        <v>778</v>
      </c>
      <c r="D171" s="538" t="s">
        <v>785</v>
      </c>
      <c r="E171" s="538" t="s">
        <v>1367</v>
      </c>
      <c r="F171" s="538" t="s">
        <v>1683</v>
      </c>
    </row>
    <row r="172" spans="1:6" s="537" customFormat="1" x14ac:dyDescent="0.25">
      <c r="A172" s="550" t="str">
        <f t="shared" si="12"/>
        <v>03-C-145</v>
      </c>
      <c r="B172" s="787" t="str">
        <f t="shared" ca="1" si="11"/>
        <v>De inleg dient contant betaald te worden of door middel van een bankoverschrijving overgemaakt te worden.</v>
      </c>
      <c r="C172" s="537" t="s">
        <v>779</v>
      </c>
      <c r="D172" s="537" t="s">
        <v>781</v>
      </c>
      <c r="E172" s="537" t="s">
        <v>1368</v>
      </c>
      <c r="F172" s="537" t="s">
        <v>1684</v>
      </c>
    </row>
    <row r="173" spans="1:6" s="538" customFormat="1" x14ac:dyDescent="0.25">
      <c r="A173" s="549" t="str">
        <f t="shared" si="12"/>
        <v>03-C-146</v>
      </c>
      <c r="B173" s="788" t="str">
        <f t="shared" ca="1" si="11"/>
        <v>De inleg dient betaald te worden via een betaalverzoek welke de organisator u zal toesturen.</v>
      </c>
      <c r="C173" s="538" t="s">
        <v>777</v>
      </c>
      <c r="D173" s="538" t="s">
        <v>782</v>
      </c>
      <c r="E173" s="538" t="s">
        <v>1369</v>
      </c>
      <c r="F173" s="538" t="s">
        <v>1685</v>
      </c>
    </row>
    <row r="174" spans="1:6" s="537" customFormat="1" x14ac:dyDescent="0.25">
      <c r="A174" s="550" t="str">
        <f t="shared" si="12"/>
        <v>03-C-147</v>
      </c>
      <c r="B174" s="787" t="str">
        <f t="shared" ca="1" si="11"/>
        <v>De inleg dient contant betaald te worden of via een betaalverzoek welke de organisator u zal toesturen.</v>
      </c>
      <c r="C174" s="537" t="s">
        <v>775</v>
      </c>
      <c r="D174" s="537" t="s">
        <v>783</v>
      </c>
      <c r="E174" s="537" t="s">
        <v>1370</v>
      </c>
      <c r="F174" s="537" t="s">
        <v>1686</v>
      </c>
    </row>
    <row r="175" spans="1:6" s="538" customFormat="1" x14ac:dyDescent="0.25">
      <c r="A175" s="549" t="str">
        <f t="shared" si="12"/>
        <v>03-C-148</v>
      </c>
      <c r="B175" s="788" t="str">
        <f t="shared" ca="1" si="11"/>
        <v>rekeningnummer</v>
      </c>
      <c r="C175" s="538" t="s">
        <v>396</v>
      </c>
      <c r="D175" s="538" t="s">
        <v>739</v>
      </c>
      <c r="E175" s="538" t="s">
        <v>1371</v>
      </c>
      <c r="F175" s="538" t="s">
        <v>1687</v>
      </c>
    </row>
    <row r="176" spans="1:6" s="537" customFormat="1" x14ac:dyDescent="0.25">
      <c r="A176" s="550" t="str">
        <f t="shared" si="12"/>
        <v>03-C-149</v>
      </c>
      <c r="B176" s="787" t="str">
        <f t="shared" ca="1" si="11"/>
        <v>ter name van</v>
      </c>
      <c r="C176" s="537" t="s">
        <v>397</v>
      </c>
      <c r="D176" s="537" t="s">
        <v>741</v>
      </c>
      <c r="E176" s="537" t="s">
        <v>1372</v>
      </c>
      <c r="F176" s="537" t="s">
        <v>1688</v>
      </c>
    </row>
    <row r="177" spans="1:6" s="538" customFormat="1" x14ac:dyDescent="0.25">
      <c r="A177" s="549" t="str">
        <f t="shared" si="12"/>
        <v>03-C-150</v>
      </c>
      <c r="B177" s="788" t="str">
        <f t="shared" ca="1" si="11"/>
        <v>onder vermelding van</v>
      </c>
      <c r="C177" s="538" t="s">
        <v>398</v>
      </c>
      <c r="D177" s="538" t="s">
        <v>740</v>
      </c>
      <c r="E177" s="538" t="s">
        <v>1373</v>
      </c>
      <c r="F177" s="538" t="s">
        <v>1689</v>
      </c>
    </row>
    <row r="178" spans="1:6" s="537" customFormat="1" x14ac:dyDescent="0.25">
      <c r="A178" s="550" t="str">
        <f t="shared" si="12"/>
        <v>03-C-151</v>
      </c>
      <c r="B178" s="787" t="str">
        <f t="shared" ca="1" si="11"/>
        <v>Van de inleg komt ### ten goede aan het goede doel ($$$).</v>
      </c>
      <c r="C178" s="537" t="s">
        <v>761</v>
      </c>
      <c r="D178" s="537" t="s">
        <v>762</v>
      </c>
      <c r="E178" s="537" t="s">
        <v>1374</v>
      </c>
      <c r="F178" s="537" t="s">
        <v>1690</v>
      </c>
    </row>
    <row r="179" spans="1:6" s="538" customFormat="1" x14ac:dyDescent="0.25">
      <c r="A179" s="549" t="str">
        <f t="shared" si="12"/>
        <v>03-C-152</v>
      </c>
      <c r="B179" s="788" t="str">
        <f t="shared" ca="1" si="11"/>
        <v>Van de inleg gaat ### naar de prijzenpot. Het restant komt ten goede aan de organisatie van de pool.</v>
      </c>
      <c r="C179" s="538" t="s">
        <v>1176</v>
      </c>
      <c r="D179" s="538" t="s">
        <v>1177</v>
      </c>
      <c r="E179" s="538" t="s">
        <v>1375</v>
      </c>
      <c r="F179" s="538" t="s">
        <v>1691</v>
      </c>
    </row>
    <row r="180" spans="1:6" s="537" customFormat="1" x14ac:dyDescent="0.25">
      <c r="A180" s="550" t="str">
        <f t="shared" si="12"/>
        <v>03-C-153</v>
      </c>
      <c r="B180" s="787" t="str">
        <f t="shared" ca="1" si="11"/>
        <v>Voor iedere deelnemer zal de organisatie van de pool ### extra inleggen in de prijzenpot.</v>
      </c>
      <c r="C180" s="537" t="s">
        <v>1178</v>
      </c>
      <c r="D180" s="537" t="s">
        <v>1179</v>
      </c>
      <c r="E180" s="537" t="s">
        <v>1376</v>
      </c>
      <c r="F180" s="537" t="s">
        <v>1692</v>
      </c>
    </row>
    <row r="181" spans="1:6" s="538" customFormat="1" x14ac:dyDescent="0.25">
      <c r="A181" s="549" t="str">
        <f t="shared" si="12"/>
        <v>03-C-154</v>
      </c>
      <c r="B181" s="788" t="str">
        <f t="shared" ca="1" si="11"/>
        <v/>
      </c>
      <c r="F181" s="538" t="s">
        <v>322</v>
      </c>
    </row>
    <row r="182" spans="1:6" s="537" customFormat="1" x14ac:dyDescent="0.25">
      <c r="A182" s="550" t="str">
        <f t="shared" si="12"/>
        <v>03-C-155</v>
      </c>
      <c r="B182" s="787" t="str">
        <f t="shared" ca="1" si="11"/>
        <v>Indien meerdere spelers op dezelfde positie staan en recht hebben op prijzengeld zal de totale som</v>
      </c>
      <c r="C182" s="537" t="s">
        <v>722</v>
      </c>
      <c r="D182" s="537" t="s">
        <v>743</v>
      </c>
      <c r="E182" s="537" t="s">
        <v>1377</v>
      </c>
      <c r="F182" s="537" t="s">
        <v>1693</v>
      </c>
    </row>
    <row r="183" spans="1:6" s="538" customFormat="1" x14ac:dyDescent="0.25">
      <c r="A183" s="549" t="str">
        <f t="shared" si="12"/>
        <v>03-C-156</v>
      </c>
      <c r="B183" s="788" t="str">
        <f t="shared" ca="1" si="11"/>
        <v>van het prijzengeld voor de gedeelde plekken verdeeld worden onder de rechthebbenden.</v>
      </c>
      <c r="C183" s="538" t="s">
        <v>723</v>
      </c>
      <c r="D183" s="538" t="s">
        <v>742</v>
      </c>
      <c r="E183" s="538" t="s">
        <v>1378</v>
      </c>
      <c r="F183" s="538" t="s">
        <v>1694</v>
      </c>
    </row>
    <row r="184" spans="1:6" s="537" customFormat="1" x14ac:dyDescent="0.25">
      <c r="A184" s="550" t="str">
        <f t="shared" si="12"/>
        <v>03-C-157</v>
      </c>
      <c r="B184" s="787" t="str">
        <f t="shared" ca="1" si="11"/>
        <v>De verdeling van het prijzengeld gebeurt als volgt:</v>
      </c>
      <c r="C184" s="537" t="s">
        <v>724</v>
      </c>
      <c r="D184" s="537" t="s">
        <v>744</v>
      </c>
      <c r="E184" s="537" t="s">
        <v>1379</v>
      </c>
      <c r="F184" s="537" t="s">
        <v>1695</v>
      </c>
    </row>
    <row r="185" spans="1:6" s="538" customFormat="1" x14ac:dyDescent="0.25">
      <c r="A185" s="549" t="str">
        <f t="shared" si="12"/>
        <v>03-C-158</v>
      </c>
      <c r="B185" s="788" t="str">
        <f t="shared" ca="1" si="11"/>
        <v>Nr.</v>
      </c>
      <c r="C185" s="538" t="s">
        <v>7</v>
      </c>
      <c r="D185" s="538" t="s">
        <v>745</v>
      </c>
      <c r="E185" s="538" t="s">
        <v>7</v>
      </c>
      <c r="F185" s="538" t="s">
        <v>7</v>
      </c>
    </row>
    <row r="186" spans="1:6" s="537" customFormat="1" x14ac:dyDescent="0.25">
      <c r="A186" s="550" t="str">
        <f t="shared" si="12"/>
        <v>03-C-159</v>
      </c>
      <c r="B186" s="787" t="str">
        <f t="shared" ca="1" si="11"/>
        <v>van de prijzenpot</v>
      </c>
      <c r="C186" s="537" t="s">
        <v>764</v>
      </c>
      <c r="D186" s="537" t="s">
        <v>763</v>
      </c>
      <c r="E186" s="537" t="s">
        <v>1380</v>
      </c>
      <c r="F186" s="537" t="s">
        <v>1696</v>
      </c>
    </row>
    <row r="187" spans="1:6" s="538" customFormat="1" x14ac:dyDescent="0.25">
      <c r="A187" s="549" t="str">
        <f t="shared" si="12"/>
        <v>03-C-160</v>
      </c>
      <c r="B187" s="788" t="str">
        <f t="shared" ca="1" si="11"/>
        <v>Tevens zijn er diverse troostprijzen beschikbaar voor degene die net naast de prijzen grijpen.</v>
      </c>
      <c r="C187" s="538" t="s">
        <v>725</v>
      </c>
      <c r="D187" s="538" t="s">
        <v>749</v>
      </c>
      <c r="E187" s="538" t="s">
        <v>1381</v>
      </c>
      <c r="F187" s="538" t="s">
        <v>1697</v>
      </c>
    </row>
    <row r="188" spans="1:6" s="537" customFormat="1" x14ac:dyDescent="0.25">
      <c r="A188" s="550" t="str">
        <f t="shared" si="12"/>
        <v>03-C-161</v>
      </c>
      <c r="B188" s="787" t="str">
        <f t="shared" ca="1" si="11"/>
        <v>Tevens is er voor de nr. ### een troostprijs beschikbaar als troost voor het net naast de prijzen grijpen.</v>
      </c>
      <c r="C188" s="537" t="s">
        <v>728</v>
      </c>
      <c r="D188" s="537" t="s">
        <v>747</v>
      </c>
      <c r="E188" s="537" t="s">
        <v>1382</v>
      </c>
      <c r="F188" s="537" t="s">
        <v>1698</v>
      </c>
    </row>
    <row r="189" spans="1:6" s="538" customFormat="1" x14ac:dyDescent="0.25">
      <c r="A189" s="549" t="str">
        <f t="shared" si="12"/>
        <v>03-C-162</v>
      </c>
      <c r="B189" s="788" t="str">
        <f t="shared" ca="1" si="11"/>
        <v>Tevens zijn er voor de nr. ### en $$$ troostprijzen beschikbaar voor degene die net naast de prijzen grijpen.</v>
      </c>
      <c r="C189" s="538" t="s">
        <v>726</v>
      </c>
      <c r="D189" s="538" t="s">
        <v>746</v>
      </c>
      <c r="E189" s="538" t="s">
        <v>1383</v>
      </c>
      <c r="F189" s="538" t="s">
        <v>1699</v>
      </c>
    </row>
    <row r="190" spans="1:6" s="537" customFormat="1" x14ac:dyDescent="0.25">
      <c r="A190" s="550" t="str">
        <f t="shared" si="12"/>
        <v>03-C-163</v>
      </c>
      <c r="B190" s="787" t="str">
        <f t="shared" ca="1" si="11"/>
        <v>Tevens zijn er voor de nr. ### t/m $$$ troostprijzen beschikbaar voor degene die net naast de prijzen grijpen.</v>
      </c>
      <c r="C190" s="537" t="s">
        <v>727</v>
      </c>
      <c r="D190" s="537" t="s">
        <v>748</v>
      </c>
      <c r="E190" s="537" t="s">
        <v>1384</v>
      </c>
      <c r="F190" s="537" t="s">
        <v>1700</v>
      </c>
    </row>
    <row r="191" spans="1:6" s="538" customFormat="1" x14ac:dyDescent="0.25">
      <c r="A191" s="549" t="str">
        <f t="shared" si="12"/>
        <v>03-C-164</v>
      </c>
      <c r="B191" s="788" t="str">
        <f t="shared" ca="1" si="11"/>
        <v>Daarnaast zijn er diverse poedelprijzen beschikbaar voor degenen die onderaan eindigen.</v>
      </c>
      <c r="C191" s="538" t="s">
        <v>729</v>
      </c>
      <c r="D191" s="538" t="s">
        <v>750</v>
      </c>
      <c r="E191" s="538" t="s">
        <v>1385</v>
      </c>
      <c r="F191" s="538" t="s">
        <v>1701</v>
      </c>
    </row>
    <row r="192" spans="1:6" s="537" customFormat="1" x14ac:dyDescent="0.25">
      <c r="A192" s="550" t="str">
        <f t="shared" si="12"/>
        <v>03-C-165</v>
      </c>
      <c r="B192" s="787" t="str">
        <f t="shared" ca="1" si="11"/>
        <v>Daarnaast ontvangt de laagst genoteerde deelnemer na afloop een poedelprijs.</v>
      </c>
      <c r="C192" s="537" t="s">
        <v>730</v>
      </c>
      <c r="D192" s="537" t="s">
        <v>751</v>
      </c>
      <c r="E192" s="537" t="s">
        <v>1386</v>
      </c>
      <c r="F192" s="537" t="s">
        <v>1702</v>
      </c>
    </row>
    <row r="193" spans="1:6" s="538" customFormat="1" x14ac:dyDescent="0.25">
      <c r="A193" s="549" t="str">
        <f t="shared" si="12"/>
        <v>03-C-166</v>
      </c>
      <c r="B193" s="788" t="str">
        <f t="shared" ca="1" si="11"/>
        <v>Daarnaast ontvangen de ### laagst genoteerde deelnemers na afloop ieder een poedelprijs.</v>
      </c>
      <c r="C193" s="538" t="s">
        <v>731</v>
      </c>
      <c r="D193" s="538" t="s">
        <v>752</v>
      </c>
      <c r="E193" s="538" t="s">
        <v>1387</v>
      </c>
      <c r="F193" s="538" t="s">
        <v>1703</v>
      </c>
    </row>
    <row r="194" spans="1:6" s="537" customFormat="1" x14ac:dyDescent="0.25">
      <c r="A194" s="550" t="str">
        <f t="shared" si="12"/>
        <v>03-C-167</v>
      </c>
      <c r="B194" s="787" t="str">
        <f t="shared" ca="1" si="11"/>
        <v>Wanneer een niet betalende deelnemer in aanmerkingen komt voor de prijzenpot zal de prijs worden</v>
      </c>
      <c r="C194" s="537" t="s">
        <v>732</v>
      </c>
      <c r="D194" s="537" t="s">
        <v>754</v>
      </c>
      <c r="E194" s="537" t="s">
        <v>1388</v>
      </c>
      <c r="F194" s="537" t="s">
        <v>1852</v>
      </c>
    </row>
    <row r="195" spans="1:6" s="538" customFormat="1" x14ac:dyDescent="0.25">
      <c r="A195" s="549" t="str">
        <f t="shared" si="12"/>
        <v>03-C-168</v>
      </c>
      <c r="B195" s="788" t="str">
        <f t="shared" ca="1" si="11"/>
        <v>doorgeschoven naar de eerst volgende betalende deelnemer op de ranglijst.</v>
      </c>
      <c r="C195" s="538" t="s">
        <v>734</v>
      </c>
      <c r="D195" s="538" t="s">
        <v>753</v>
      </c>
      <c r="E195" s="538" t="s">
        <v>1389</v>
      </c>
      <c r="F195" s="538" t="s">
        <v>1704</v>
      </c>
    </row>
    <row r="196" spans="1:6" s="544" customFormat="1" x14ac:dyDescent="0.25">
      <c r="A196" s="542" t="str">
        <f t="shared" si="12"/>
        <v>03-C-169</v>
      </c>
      <c r="B196" s="790"/>
    </row>
    <row r="197" spans="1:6" s="541" customFormat="1" x14ac:dyDescent="0.25">
      <c r="A197" s="539" t="str">
        <f t="shared" si="12"/>
        <v>03-C-170</v>
      </c>
      <c r="B197" s="791"/>
    </row>
    <row r="198" spans="1:6" s="544" customFormat="1" x14ac:dyDescent="0.25">
      <c r="A198" s="542" t="str">
        <f t="shared" si="12"/>
        <v>03-C-171</v>
      </c>
      <c r="B198" s="790"/>
    </row>
    <row r="199" spans="1:6" s="541" customFormat="1" x14ac:dyDescent="0.25">
      <c r="A199" s="539" t="str">
        <f t="shared" si="12"/>
        <v>03-C-172</v>
      </c>
      <c r="B199" s="791"/>
    </row>
    <row r="200" spans="1:6" s="544" customFormat="1" x14ac:dyDescent="0.25">
      <c r="A200" s="542" t="str">
        <f t="shared" si="12"/>
        <v>03-C-173</v>
      </c>
      <c r="B200" s="792"/>
    </row>
    <row r="201" spans="1:6" s="541" customFormat="1" x14ac:dyDescent="0.25">
      <c r="A201" s="539" t="str">
        <f t="shared" si="12"/>
        <v>03-C-174</v>
      </c>
      <c r="B201" s="793"/>
    </row>
    <row r="202" spans="1:6" s="544" customFormat="1" x14ac:dyDescent="0.25">
      <c r="A202" s="542" t="str">
        <f t="shared" si="12"/>
        <v>03-C-175</v>
      </c>
      <c r="B202" s="792"/>
    </row>
    <row r="203" spans="1:6" s="541" customFormat="1" x14ac:dyDescent="0.25">
      <c r="A203" s="539" t="str">
        <f t="shared" si="12"/>
        <v>03-C-176</v>
      </c>
      <c r="B203" s="793"/>
    </row>
    <row r="204" spans="1:6" s="544" customFormat="1" x14ac:dyDescent="0.25">
      <c r="A204" s="542" t="str">
        <f t="shared" si="12"/>
        <v>03-C-177</v>
      </c>
      <c r="B204" s="792"/>
    </row>
    <row r="205" spans="1:6" s="541" customFormat="1" x14ac:dyDescent="0.25">
      <c r="A205" s="539" t="str">
        <f t="shared" si="12"/>
        <v>03-C-178</v>
      </c>
      <c r="B205" s="793"/>
    </row>
    <row r="206" spans="1:6" s="544" customFormat="1" x14ac:dyDescent="0.25">
      <c r="A206" s="542" t="str">
        <f t="shared" si="12"/>
        <v>03-C-179</v>
      </c>
      <c r="B206" s="792"/>
    </row>
    <row r="207" spans="1:6" s="541" customFormat="1" x14ac:dyDescent="0.25">
      <c r="A207" s="539" t="str">
        <f t="shared" si="12"/>
        <v>03-C-180</v>
      </c>
      <c r="B207" s="793"/>
    </row>
    <row r="208" spans="1:6" s="544" customFormat="1" x14ac:dyDescent="0.25">
      <c r="A208" s="542" t="str">
        <f t="shared" si="12"/>
        <v>03-C-181</v>
      </c>
      <c r="B208" s="792"/>
    </row>
    <row r="209" spans="1:2" s="541" customFormat="1" x14ac:dyDescent="0.25">
      <c r="A209" s="539" t="str">
        <f t="shared" si="12"/>
        <v>03-C-182</v>
      </c>
      <c r="B209" s="793"/>
    </row>
    <row r="210" spans="1:2" s="544" customFormat="1" x14ac:dyDescent="0.25">
      <c r="A210" s="542" t="str">
        <f t="shared" si="12"/>
        <v>03-C-183</v>
      </c>
      <c r="B210" s="792"/>
    </row>
    <row r="211" spans="1:2" s="541" customFormat="1" x14ac:dyDescent="0.25">
      <c r="A211" s="539" t="str">
        <f t="shared" si="12"/>
        <v>03-C-184</v>
      </c>
      <c r="B211" s="793"/>
    </row>
    <row r="212" spans="1:2" s="544" customFormat="1" x14ac:dyDescent="0.25">
      <c r="A212" s="542" t="str">
        <f t="shared" si="12"/>
        <v>03-C-185</v>
      </c>
      <c r="B212" s="792"/>
    </row>
    <row r="213" spans="1:2" s="541" customFormat="1" x14ac:dyDescent="0.25">
      <c r="A213" s="539" t="str">
        <f t="shared" si="12"/>
        <v>03-C-186</v>
      </c>
      <c r="B213" s="793"/>
    </row>
    <row r="214" spans="1:2" s="544" customFormat="1" x14ac:dyDescent="0.25">
      <c r="A214" s="542" t="str">
        <f t="shared" si="12"/>
        <v>03-C-187</v>
      </c>
      <c r="B214" s="792"/>
    </row>
    <row r="215" spans="1:2" s="541" customFormat="1" x14ac:dyDescent="0.25">
      <c r="A215" s="539" t="str">
        <f t="shared" si="12"/>
        <v>03-C-188</v>
      </c>
      <c r="B215" s="793"/>
    </row>
    <row r="216" spans="1:2" s="544" customFormat="1" x14ac:dyDescent="0.25">
      <c r="A216" s="542" t="str">
        <f t="shared" si="12"/>
        <v>03-C-189</v>
      </c>
      <c r="B216" s="792"/>
    </row>
    <row r="217" spans="1:2" s="541" customFormat="1" x14ac:dyDescent="0.25">
      <c r="A217" s="539" t="str">
        <f t="shared" si="12"/>
        <v>03-C-190</v>
      </c>
      <c r="B217" s="793"/>
    </row>
    <row r="218" spans="1:2" s="544" customFormat="1" x14ac:dyDescent="0.25">
      <c r="A218" s="542" t="str">
        <f t="shared" si="12"/>
        <v>03-C-191</v>
      </c>
      <c r="B218" s="792"/>
    </row>
    <row r="219" spans="1:2" s="541" customFormat="1" x14ac:dyDescent="0.25">
      <c r="A219" s="539" t="str">
        <f t="shared" si="12"/>
        <v>03-C-192</v>
      </c>
      <c r="B219" s="793"/>
    </row>
    <row r="220" spans="1:2" s="544" customFormat="1" x14ac:dyDescent="0.25">
      <c r="A220" s="542" t="str">
        <f t="shared" si="12"/>
        <v>03-C-193</v>
      </c>
      <c r="B220" s="792"/>
    </row>
    <row r="221" spans="1:2" s="541" customFormat="1" x14ac:dyDescent="0.25">
      <c r="A221" s="539" t="str">
        <f t="shared" si="12"/>
        <v>03-C-194</v>
      </c>
      <c r="B221" s="793"/>
    </row>
    <row r="222" spans="1:2" s="544" customFormat="1" x14ac:dyDescent="0.25">
      <c r="A222" s="542" t="str">
        <f t="shared" si="12"/>
        <v>03-C-195</v>
      </c>
      <c r="B222" s="792"/>
    </row>
    <row r="223" spans="1:2" s="541" customFormat="1" x14ac:dyDescent="0.25">
      <c r="A223" s="539" t="str">
        <f t="shared" si="12"/>
        <v>03-C-196</v>
      </c>
      <c r="B223" s="793"/>
    </row>
    <row r="224" spans="1:2" s="544" customFormat="1" x14ac:dyDescent="0.25">
      <c r="A224" s="542" t="str">
        <f t="shared" si="12"/>
        <v>03-C-197</v>
      </c>
      <c r="B224" s="792"/>
    </row>
    <row r="225" spans="1:2" s="541" customFormat="1" x14ac:dyDescent="0.25">
      <c r="A225" s="539" t="str">
        <f t="shared" si="12"/>
        <v>03-C-198</v>
      </c>
      <c r="B225" s="793"/>
    </row>
    <row r="226" spans="1:2" s="544" customFormat="1" x14ac:dyDescent="0.25">
      <c r="A226" s="542" t="str">
        <f t="shared" si="12"/>
        <v>03-C-199</v>
      </c>
      <c r="B226" s="792"/>
    </row>
    <row r="227" spans="1:2" s="541" customFormat="1" x14ac:dyDescent="0.25">
      <c r="A227" s="539" t="str">
        <f t="shared" si="12"/>
        <v>03-C-200</v>
      </c>
      <c r="B227" s="793"/>
    </row>
    <row r="228" spans="1:2" s="544" customFormat="1" x14ac:dyDescent="0.25">
      <c r="A228" s="542" t="str">
        <f t="shared" si="12"/>
        <v>03-C-201</v>
      </c>
      <c r="B228" s="792"/>
    </row>
    <row r="229" spans="1:2" s="541" customFormat="1" x14ac:dyDescent="0.25">
      <c r="A229" s="539" t="str">
        <f t="shared" si="12"/>
        <v>03-C-202</v>
      </c>
      <c r="B229" s="793"/>
    </row>
    <row r="230" spans="1:2" s="544" customFormat="1" x14ac:dyDescent="0.25">
      <c r="A230" s="542" t="str">
        <f t="shared" si="12"/>
        <v>03-C-203</v>
      </c>
      <c r="B230" s="792"/>
    </row>
    <row r="231" spans="1:2" s="541" customFormat="1" x14ac:dyDescent="0.25">
      <c r="A231" s="539" t="str">
        <f t="shared" si="12"/>
        <v>03-C-204</v>
      </c>
      <c r="B231" s="793"/>
    </row>
    <row r="232" spans="1:2" s="544" customFormat="1" x14ac:dyDescent="0.25">
      <c r="A232" s="542" t="str">
        <f t="shared" si="12"/>
        <v>03-C-205</v>
      </c>
      <c r="B232" s="792"/>
    </row>
    <row r="233" spans="1:2" s="541" customFormat="1" x14ac:dyDescent="0.25">
      <c r="A233" s="539" t="str">
        <f t="shared" ref="A233:A280" si="13">LEFT(A232,5)&amp;RIGHT("000"&amp;RIGHT(A232,3)*1+1,3)</f>
        <v>03-C-206</v>
      </c>
      <c r="B233" s="793"/>
    </row>
    <row r="234" spans="1:2" s="544" customFormat="1" x14ac:dyDescent="0.25">
      <c r="A234" s="542" t="str">
        <f t="shared" si="13"/>
        <v>03-C-207</v>
      </c>
      <c r="B234" s="792"/>
    </row>
    <row r="235" spans="1:2" s="541" customFormat="1" x14ac:dyDescent="0.25">
      <c r="A235" s="539" t="str">
        <f t="shared" si="13"/>
        <v>03-C-208</v>
      </c>
      <c r="B235" s="793"/>
    </row>
    <row r="236" spans="1:2" s="544" customFormat="1" x14ac:dyDescent="0.25">
      <c r="A236" s="542" t="str">
        <f t="shared" si="13"/>
        <v>03-C-209</v>
      </c>
      <c r="B236" s="792"/>
    </row>
    <row r="237" spans="1:2" s="541" customFormat="1" x14ac:dyDescent="0.25">
      <c r="A237" s="539" t="str">
        <f t="shared" si="13"/>
        <v>03-C-210</v>
      </c>
      <c r="B237" s="793"/>
    </row>
    <row r="238" spans="1:2" s="544" customFormat="1" x14ac:dyDescent="0.25">
      <c r="A238" s="542" t="str">
        <f t="shared" si="13"/>
        <v>03-C-211</v>
      </c>
      <c r="B238" s="792"/>
    </row>
    <row r="239" spans="1:2" s="541" customFormat="1" x14ac:dyDescent="0.25">
      <c r="A239" s="539" t="str">
        <f t="shared" si="13"/>
        <v>03-C-212</v>
      </c>
      <c r="B239" s="793"/>
    </row>
    <row r="240" spans="1:2" s="544" customFormat="1" x14ac:dyDescent="0.25">
      <c r="A240" s="542" t="str">
        <f t="shared" si="13"/>
        <v>03-C-213</v>
      </c>
      <c r="B240" s="792"/>
    </row>
    <row r="241" spans="1:2" s="541" customFormat="1" x14ac:dyDescent="0.25">
      <c r="A241" s="539" t="str">
        <f t="shared" si="13"/>
        <v>03-C-214</v>
      </c>
      <c r="B241" s="793"/>
    </row>
    <row r="242" spans="1:2" s="544" customFormat="1" x14ac:dyDescent="0.25">
      <c r="A242" s="542" t="str">
        <f t="shared" si="13"/>
        <v>03-C-215</v>
      </c>
      <c r="B242" s="792"/>
    </row>
    <row r="243" spans="1:2" s="541" customFormat="1" x14ac:dyDescent="0.25">
      <c r="A243" s="539" t="str">
        <f t="shared" si="13"/>
        <v>03-C-216</v>
      </c>
      <c r="B243" s="793"/>
    </row>
    <row r="244" spans="1:2" s="544" customFormat="1" x14ac:dyDescent="0.25">
      <c r="A244" s="542" t="str">
        <f t="shared" si="13"/>
        <v>03-C-217</v>
      </c>
      <c r="B244" s="792"/>
    </row>
    <row r="245" spans="1:2" s="541" customFormat="1" x14ac:dyDescent="0.25">
      <c r="A245" s="539" t="str">
        <f t="shared" si="13"/>
        <v>03-C-218</v>
      </c>
      <c r="B245" s="793"/>
    </row>
    <row r="246" spans="1:2" s="544" customFormat="1" x14ac:dyDescent="0.25">
      <c r="A246" s="542" t="str">
        <f t="shared" si="13"/>
        <v>03-C-219</v>
      </c>
      <c r="B246" s="792"/>
    </row>
    <row r="247" spans="1:2" s="541" customFormat="1" x14ac:dyDescent="0.25">
      <c r="A247" s="539" t="str">
        <f t="shared" si="13"/>
        <v>03-C-220</v>
      </c>
      <c r="B247" s="793"/>
    </row>
    <row r="248" spans="1:2" s="544" customFormat="1" x14ac:dyDescent="0.25">
      <c r="A248" s="542" t="str">
        <f t="shared" si="13"/>
        <v>03-C-221</v>
      </c>
      <c r="B248" s="792"/>
    </row>
    <row r="249" spans="1:2" s="541" customFormat="1" x14ac:dyDescent="0.25">
      <c r="A249" s="539" t="str">
        <f t="shared" si="13"/>
        <v>03-C-222</v>
      </c>
      <c r="B249" s="793"/>
    </row>
    <row r="250" spans="1:2" s="544" customFormat="1" x14ac:dyDescent="0.25">
      <c r="A250" s="542" t="str">
        <f t="shared" si="13"/>
        <v>03-C-223</v>
      </c>
      <c r="B250" s="792"/>
    </row>
    <row r="251" spans="1:2" s="541" customFormat="1" x14ac:dyDescent="0.25">
      <c r="A251" s="539" t="str">
        <f t="shared" si="13"/>
        <v>03-C-224</v>
      </c>
      <c r="B251" s="793"/>
    </row>
    <row r="252" spans="1:2" s="544" customFormat="1" x14ac:dyDescent="0.25">
      <c r="A252" s="542" t="str">
        <f t="shared" si="13"/>
        <v>03-C-225</v>
      </c>
      <c r="B252" s="792"/>
    </row>
    <row r="253" spans="1:2" s="541" customFormat="1" x14ac:dyDescent="0.25">
      <c r="A253" s="539" t="str">
        <f t="shared" si="13"/>
        <v>03-C-226</v>
      </c>
      <c r="B253" s="793"/>
    </row>
    <row r="254" spans="1:2" s="544" customFormat="1" x14ac:dyDescent="0.25">
      <c r="A254" s="542" t="str">
        <f t="shared" si="13"/>
        <v>03-C-227</v>
      </c>
      <c r="B254" s="792"/>
    </row>
    <row r="255" spans="1:2" s="541" customFormat="1" x14ac:dyDescent="0.25">
      <c r="A255" s="539" t="str">
        <f t="shared" si="13"/>
        <v>03-C-228</v>
      </c>
      <c r="B255" s="793"/>
    </row>
    <row r="256" spans="1:2" s="544" customFormat="1" x14ac:dyDescent="0.25">
      <c r="A256" s="542" t="str">
        <f t="shared" si="13"/>
        <v>03-C-229</v>
      </c>
      <c r="B256" s="792"/>
    </row>
    <row r="257" spans="1:2" s="541" customFormat="1" x14ac:dyDescent="0.25">
      <c r="A257" s="539" t="str">
        <f t="shared" si="13"/>
        <v>03-C-230</v>
      </c>
      <c r="B257" s="793"/>
    </row>
    <row r="258" spans="1:2" s="544" customFormat="1" x14ac:dyDescent="0.25">
      <c r="A258" s="542" t="str">
        <f t="shared" si="13"/>
        <v>03-C-231</v>
      </c>
      <c r="B258" s="792"/>
    </row>
    <row r="259" spans="1:2" s="541" customFormat="1" x14ac:dyDescent="0.25">
      <c r="A259" s="539" t="str">
        <f t="shared" si="13"/>
        <v>03-C-232</v>
      </c>
      <c r="B259" s="793"/>
    </row>
    <row r="260" spans="1:2" s="544" customFormat="1" x14ac:dyDescent="0.25">
      <c r="A260" s="542" t="str">
        <f t="shared" si="13"/>
        <v>03-C-233</v>
      </c>
      <c r="B260" s="792"/>
    </row>
    <row r="261" spans="1:2" s="541" customFormat="1" x14ac:dyDescent="0.25">
      <c r="A261" s="539" t="str">
        <f t="shared" si="13"/>
        <v>03-C-234</v>
      </c>
      <c r="B261" s="793"/>
    </row>
    <row r="262" spans="1:2" s="544" customFormat="1" x14ac:dyDescent="0.25">
      <c r="A262" s="542" t="str">
        <f t="shared" si="13"/>
        <v>03-C-235</v>
      </c>
      <c r="B262" s="792"/>
    </row>
    <row r="263" spans="1:2" s="541" customFormat="1" x14ac:dyDescent="0.25">
      <c r="A263" s="539" t="str">
        <f t="shared" si="13"/>
        <v>03-C-236</v>
      </c>
      <c r="B263" s="793"/>
    </row>
    <row r="264" spans="1:2" s="544" customFormat="1" x14ac:dyDescent="0.25">
      <c r="A264" s="542" t="str">
        <f t="shared" si="13"/>
        <v>03-C-237</v>
      </c>
      <c r="B264" s="792"/>
    </row>
    <row r="265" spans="1:2" s="541" customFormat="1" x14ac:dyDescent="0.25">
      <c r="A265" s="539" t="str">
        <f t="shared" si="13"/>
        <v>03-C-238</v>
      </c>
      <c r="B265" s="793"/>
    </row>
    <row r="266" spans="1:2" s="544" customFormat="1" x14ac:dyDescent="0.25">
      <c r="A266" s="542" t="str">
        <f t="shared" si="13"/>
        <v>03-C-239</v>
      </c>
      <c r="B266" s="792"/>
    </row>
    <row r="267" spans="1:2" s="541" customFormat="1" x14ac:dyDescent="0.25">
      <c r="A267" s="539" t="str">
        <f t="shared" si="13"/>
        <v>03-C-240</v>
      </c>
      <c r="B267" s="793"/>
    </row>
    <row r="268" spans="1:2" s="544" customFormat="1" x14ac:dyDescent="0.25">
      <c r="A268" s="542" t="str">
        <f t="shared" si="13"/>
        <v>03-C-241</v>
      </c>
      <c r="B268" s="792"/>
    </row>
    <row r="269" spans="1:2" s="541" customFormat="1" x14ac:dyDescent="0.25">
      <c r="A269" s="539" t="str">
        <f t="shared" si="13"/>
        <v>03-C-242</v>
      </c>
      <c r="B269" s="793"/>
    </row>
    <row r="270" spans="1:2" s="544" customFormat="1" x14ac:dyDescent="0.25">
      <c r="A270" s="542" t="str">
        <f t="shared" si="13"/>
        <v>03-C-243</v>
      </c>
      <c r="B270" s="792"/>
    </row>
    <row r="271" spans="1:2" s="541" customFormat="1" x14ac:dyDescent="0.25">
      <c r="A271" s="539" t="str">
        <f t="shared" si="13"/>
        <v>03-C-244</v>
      </c>
      <c r="B271" s="793"/>
    </row>
    <row r="272" spans="1:2" s="544" customFormat="1" x14ac:dyDescent="0.25">
      <c r="A272" s="542" t="str">
        <f t="shared" si="13"/>
        <v>03-C-245</v>
      </c>
      <c r="B272" s="792"/>
    </row>
    <row r="273" spans="1:2" s="541" customFormat="1" x14ac:dyDescent="0.25">
      <c r="A273" s="539" t="str">
        <f t="shared" si="13"/>
        <v>03-C-246</v>
      </c>
      <c r="B273" s="793"/>
    </row>
    <row r="274" spans="1:2" s="544" customFormat="1" x14ac:dyDescent="0.25">
      <c r="A274" s="542" t="str">
        <f t="shared" si="13"/>
        <v>03-C-247</v>
      </c>
      <c r="B274" s="792"/>
    </row>
    <row r="275" spans="1:2" s="541" customFormat="1" x14ac:dyDescent="0.25">
      <c r="A275" s="539" t="str">
        <f t="shared" si="13"/>
        <v>03-C-248</v>
      </c>
      <c r="B275" s="793"/>
    </row>
    <row r="276" spans="1:2" s="544" customFormat="1" x14ac:dyDescent="0.25">
      <c r="A276" s="542" t="str">
        <f t="shared" si="13"/>
        <v>03-C-249</v>
      </c>
      <c r="B276" s="792"/>
    </row>
    <row r="277" spans="1:2" s="541" customFormat="1" x14ac:dyDescent="0.25">
      <c r="A277" s="539" t="str">
        <f t="shared" si="13"/>
        <v>03-C-250</v>
      </c>
      <c r="B277" s="793"/>
    </row>
    <row r="278" spans="1:2" s="544" customFormat="1" x14ac:dyDescent="0.25">
      <c r="A278" s="542" t="str">
        <f t="shared" si="13"/>
        <v>03-C-251</v>
      </c>
      <c r="B278" s="792"/>
    </row>
    <row r="279" spans="1:2" s="541" customFormat="1" x14ac:dyDescent="0.25">
      <c r="A279" s="539" t="str">
        <f t="shared" si="13"/>
        <v>03-C-252</v>
      </c>
      <c r="B279" s="793"/>
    </row>
    <row r="280" spans="1:2" s="544" customFormat="1" x14ac:dyDescent="0.25">
      <c r="A280" s="542" t="str">
        <f t="shared" si="13"/>
        <v>03-C-253</v>
      </c>
      <c r="B280" s="79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rgb="FFFFC000"/>
  </sheetPr>
  <dimension ref="A1:H280"/>
  <sheetViews>
    <sheetView zoomScaleNormal="100" workbookViewId="0"/>
  </sheetViews>
  <sheetFormatPr defaultColWidth="9" defaultRowHeight="15" x14ac:dyDescent="0.25"/>
  <cols>
    <col min="1" max="1" width="8.7109375" style="566" customWidth="1"/>
    <col min="2" max="2" width="10.7109375" style="566" customWidth="1"/>
    <col min="3" max="4" width="50.7109375" style="567" customWidth="1"/>
    <col min="5" max="5" width="43" style="567" customWidth="1"/>
    <col min="6"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864</v>
      </c>
      <c r="B5" s="783"/>
    </row>
    <row r="6" spans="1:6" s="565" customFormat="1" x14ac:dyDescent="0.25">
      <c r="A6" s="564" t="str">
        <f>"04-D-001"</f>
        <v>04-D-001</v>
      </c>
      <c r="B6" s="784" t="str">
        <f t="shared" ref="B6:B12" ca="1" si="0">TRIM(INDIRECT(CHAR(64+$C$2)&amp;ROW()))</f>
        <v>Deelname Formulier</v>
      </c>
      <c r="C6" s="565" t="s">
        <v>808</v>
      </c>
      <c r="D6" s="565" t="s">
        <v>809</v>
      </c>
      <c r="E6" s="565" t="s">
        <v>1390</v>
      </c>
      <c r="F6" s="565" t="s">
        <v>1546</v>
      </c>
    </row>
    <row r="7" spans="1:6" s="563" customFormat="1" x14ac:dyDescent="0.25">
      <c r="A7" s="562" t="str">
        <f t="shared" ref="A7:A97" si="1">LEFT(A6,5)&amp;RIGHT("000"&amp;RIGHT(A6,3)*1+1,3)</f>
        <v>04-D-002</v>
      </c>
      <c r="B7" s="785" t="str">
        <f t="shared" ca="1" si="0"/>
        <v>Excel Deelname Formulier</v>
      </c>
      <c r="C7" s="563" t="s">
        <v>807</v>
      </c>
      <c r="D7" s="563" t="s">
        <v>810</v>
      </c>
      <c r="E7" s="563" t="s">
        <v>1391</v>
      </c>
      <c r="F7" s="563" t="s">
        <v>1705</v>
      </c>
    </row>
    <row r="8" spans="1:6" s="565" customFormat="1" x14ac:dyDescent="0.25">
      <c r="A8" s="564" t="str">
        <f t="shared" si="1"/>
        <v>04-D-003</v>
      </c>
      <c r="B8" s="784" t="str">
        <f t="shared" ca="1" si="0"/>
        <v>Groepswedstrijden</v>
      </c>
      <c r="C8" s="565" t="s">
        <v>588</v>
      </c>
      <c r="D8" s="565" t="s">
        <v>811</v>
      </c>
      <c r="E8" s="565" t="s">
        <v>1392</v>
      </c>
      <c r="F8" s="565" t="s">
        <v>1706</v>
      </c>
    </row>
    <row r="9" spans="1:6" s="563" customFormat="1" x14ac:dyDescent="0.25">
      <c r="A9" s="562" t="str">
        <f t="shared" si="1"/>
        <v>04-D-004</v>
      </c>
      <c r="B9" s="785" t="str">
        <f t="shared" ca="1" si="0"/>
        <v>Eindstand Groep</v>
      </c>
      <c r="C9" s="563" t="s">
        <v>255</v>
      </c>
      <c r="D9" s="563" t="s">
        <v>891</v>
      </c>
      <c r="E9" s="563" t="s">
        <v>1393</v>
      </c>
      <c r="F9" s="563" t="s">
        <v>1707</v>
      </c>
    </row>
    <row r="10" spans="1:6" s="565" customFormat="1" x14ac:dyDescent="0.25">
      <c r="A10" s="564" t="str">
        <f t="shared" si="1"/>
        <v>04-D-005</v>
      </c>
      <c r="B10" s="784" t="str">
        <f t="shared" ca="1" si="0"/>
        <v>Finalewedstrijden</v>
      </c>
      <c r="C10" s="565" t="s">
        <v>589</v>
      </c>
      <c r="D10" s="565" t="s">
        <v>875</v>
      </c>
      <c r="E10" s="565" t="s">
        <v>1394</v>
      </c>
      <c r="F10" s="565" t="s">
        <v>1564</v>
      </c>
    </row>
    <row r="11" spans="1:6" s="546" customFormat="1" x14ac:dyDescent="0.25">
      <c r="A11" s="545" t="str">
        <f t="shared" si="1"/>
        <v>04-D-006</v>
      </c>
      <c r="B11" s="786" t="str">
        <f t="shared" ca="1" si="0"/>
        <v>Bonusvragen</v>
      </c>
      <c r="C11" s="546" t="s">
        <v>99</v>
      </c>
      <c r="D11" s="546" t="s">
        <v>608</v>
      </c>
      <c r="E11" s="546" t="s">
        <v>1227</v>
      </c>
      <c r="F11" s="546" t="s">
        <v>1708</v>
      </c>
    </row>
    <row r="12" spans="1:6" s="565" customFormat="1" x14ac:dyDescent="0.25">
      <c r="A12" s="564" t="str">
        <f t="shared" si="1"/>
        <v>04-D-007</v>
      </c>
      <c r="B12" s="784" t="str">
        <f t="shared" ca="1" si="0"/>
        <v>Teams</v>
      </c>
      <c r="C12" s="565" t="s">
        <v>1243</v>
      </c>
      <c r="D12" s="565" t="s">
        <v>1243</v>
      </c>
      <c r="E12" s="565" t="s">
        <v>1243</v>
      </c>
      <c r="F12" s="565" t="s">
        <v>1962</v>
      </c>
    </row>
    <row r="13" spans="1:6" s="538" customFormat="1" x14ac:dyDescent="0.25">
      <c r="A13" s="539" t="str">
        <f t="shared" si="1"/>
        <v>04-D-008</v>
      </c>
      <c r="B13" s="788"/>
    </row>
    <row r="14" spans="1:6" s="532" customFormat="1" x14ac:dyDescent="0.25">
      <c r="A14" s="550" t="str">
        <f t="shared" si="1"/>
        <v>04-D-009</v>
      </c>
      <c r="B14" s="789" t="str">
        <f ca="1">TRIM(INDIRECT(CHAR(64+$C$2)&amp;ROW()))</f>
        <v>Naam</v>
      </c>
      <c r="C14" s="532" t="s">
        <v>812</v>
      </c>
      <c r="D14" s="532" t="s">
        <v>815</v>
      </c>
      <c r="E14" s="532" t="s">
        <v>815</v>
      </c>
      <c r="F14" s="532" t="s">
        <v>1709</v>
      </c>
    </row>
    <row r="15" spans="1:6" s="541" customFormat="1" x14ac:dyDescent="0.25">
      <c r="A15" s="549" t="str">
        <f t="shared" si="1"/>
        <v>04-D-010</v>
      </c>
      <c r="B15" s="788" t="str">
        <f ca="1">TRIM(INDIRECT(CHAR(64+$C$2)&amp;ROW()))</f>
        <v>E-mail</v>
      </c>
      <c r="C15" s="538" t="s">
        <v>813</v>
      </c>
      <c r="D15" s="538" t="s">
        <v>813</v>
      </c>
      <c r="E15" s="541" t="s">
        <v>1395</v>
      </c>
      <c r="F15" s="538" t="s">
        <v>1710</v>
      </c>
    </row>
    <row r="16" spans="1:6" s="532" customFormat="1" x14ac:dyDescent="0.25">
      <c r="A16" s="535" t="str">
        <f t="shared" si="1"/>
        <v>04-D-011</v>
      </c>
      <c r="B16" s="789" t="str">
        <f ca="1">TRIM(INDIRECT(CHAR(64+$C$2)&amp;ROW()))</f>
        <v>(maximaal ## tekens)</v>
      </c>
      <c r="C16" s="532" t="s">
        <v>814</v>
      </c>
      <c r="D16" s="532" t="s">
        <v>816</v>
      </c>
      <c r="E16" s="532" t="s">
        <v>1396</v>
      </c>
      <c r="F16" s="532" t="s">
        <v>1711</v>
      </c>
    </row>
    <row r="17" spans="1:6" s="538" customFormat="1" x14ac:dyDescent="0.25">
      <c r="A17" s="549" t="str">
        <f t="shared" si="1"/>
        <v>04-D-012</v>
      </c>
      <c r="B17" s="788" t="str">
        <f ca="1">TRIM(INDIRECT(CHAR(64+$C$2)&amp;ROW()))</f>
        <v>e-mailadres is niet verplicht</v>
      </c>
      <c r="C17" s="538" t="s">
        <v>1166</v>
      </c>
      <c r="D17" s="538" t="s">
        <v>1167</v>
      </c>
      <c r="E17" s="538" t="s">
        <v>1397</v>
      </c>
      <c r="F17" s="538" t="s">
        <v>1712</v>
      </c>
    </row>
    <row r="18" spans="1:6" s="537" customFormat="1" x14ac:dyDescent="0.25">
      <c r="A18" s="542" t="str">
        <f t="shared" si="1"/>
        <v>04-D-013</v>
      </c>
      <c r="B18" s="787"/>
    </row>
    <row r="19" spans="1:6" s="538" customFormat="1" x14ac:dyDescent="0.25">
      <c r="A19" s="539" t="str">
        <f t="shared" si="1"/>
        <v>04-D-014</v>
      </c>
      <c r="B19" s="783"/>
    </row>
    <row r="20" spans="1:6" s="537" customFormat="1" x14ac:dyDescent="0.25">
      <c r="A20" s="550" t="str">
        <f t="shared" si="1"/>
        <v>04-D-015</v>
      </c>
      <c r="B20" s="789" t="str">
        <f t="shared" ref="B20:B36" ca="1" si="2">TRIM(INDIRECT(CHAR(64+$C$2)&amp;ROW()))</f>
        <v>Datum</v>
      </c>
      <c r="C20" s="537" t="s">
        <v>10</v>
      </c>
      <c r="D20" s="537" t="s">
        <v>824</v>
      </c>
      <c r="E20" s="537" t="s">
        <v>10</v>
      </c>
      <c r="F20" s="537" t="s">
        <v>10</v>
      </c>
    </row>
    <row r="21" spans="1:6" s="538" customFormat="1" x14ac:dyDescent="0.25">
      <c r="A21" s="549" t="str">
        <f t="shared" si="1"/>
        <v>04-D-016</v>
      </c>
      <c r="B21" s="788" t="str">
        <f t="shared" ca="1" si="2"/>
        <v>Tijd</v>
      </c>
      <c r="C21" s="538" t="s">
        <v>11</v>
      </c>
      <c r="D21" s="538" t="s">
        <v>825</v>
      </c>
      <c r="E21" s="538" t="s">
        <v>1398</v>
      </c>
      <c r="F21" s="538" t="s">
        <v>1713</v>
      </c>
    </row>
    <row r="22" spans="1:6" s="537" customFormat="1" x14ac:dyDescent="0.25">
      <c r="A22" s="550" t="str">
        <f t="shared" si="1"/>
        <v>04-D-017</v>
      </c>
      <c r="B22" s="789" t="str">
        <f t="shared" ca="1" si="2"/>
        <v>Wedstrijd</v>
      </c>
      <c r="C22" s="537" t="s">
        <v>8</v>
      </c>
      <c r="D22" s="537" t="s">
        <v>826</v>
      </c>
      <c r="E22" s="537" t="s">
        <v>1399</v>
      </c>
      <c r="F22" s="537" t="s">
        <v>826</v>
      </c>
    </row>
    <row r="23" spans="1:6" s="538" customFormat="1" x14ac:dyDescent="0.25">
      <c r="A23" s="549" t="str">
        <f t="shared" si="1"/>
        <v>04-D-018</v>
      </c>
      <c r="B23" s="788" t="str">
        <f t="shared" ca="1" si="2"/>
        <v>TOTO</v>
      </c>
      <c r="C23" s="538" t="s">
        <v>233</v>
      </c>
      <c r="D23" s="538" t="s">
        <v>233</v>
      </c>
      <c r="E23" s="538" t="s">
        <v>233</v>
      </c>
      <c r="F23" s="538" t="s">
        <v>1647</v>
      </c>
    </row>
    <row r="24" spans="1:6" s="537" customFormat="1" x14ac:dyDescent="0.25">
      <c r="A24" s="550" t="str">
        <f t="shared" si="1"/>
        <v>04-D-019</v>
      </c>
      <c r="B24" s="789" t="str">
        <f t="shared" ca="1" si="2"/>
        <v>Eindstand</v>
      </c>
      <c r="C24" s="537" t="s">
        <v>13</v>
      </c>
      <c r="D24" s="537" t="s">
        <v>827</v>
      </c>
      <c r="E24" s="537" t="s">
        <v>1400</v>
      </c>
      <c r="F24" s="537" t="s">
        <v>1714</v>
      </c>
    </row>
    <row r="25" spans="1:6" s="538" customFormat="1" x14ac:dyDescent="0.25">
      <c r="A25" s="549" t="str">
        <f t="shared" si="1"/>
        <v>04-D-020</v>
      </c>
      <c r="B25" s="788" t="str">
        <f t="shared" ca="1" si="2"/>
        <v>Alle tijden zijn Midden-Europese Tijd (UCT+1)</v>
      </c>
      <c r="C25" s="538" t="s">
        <v>171</v>
      </c>
      <c r="D25" s="538" t="s">
        <v>828</v>
      </c>
      <c r="E25" s="538" t="s">
        <v>1401</v>
      </c>
      <c r="F25" s="538" t="s">
        <v>1715</v>
      </c>
    </row>
    <row r="26" spans="1:6" s="537" customFormat="1" x14ac:dyDescent="0.25">
      <c r="A26" s="550" t="str">
        <f t="shared" si="1"/>
        <v>04-D-021</v>
      </c>
      <c r="B26" s="789" t="str">
        <f t="shared" ca="1" si="2"/>
        <v>Groep</v>
      </c>
      <c r="C26" s="537" t="s">
        <v>75</v>
      </c>
      <c r="D26" s="537" t="s">
        <v>829</v>
      </c>
      <c r="E26" s="537" t="s">
        <v>1402</v>
      </c>
      <c r="F26" s="537" t="s">
        <v>1716</v>
      </c>
    </row>
    <row r="27" spans="1:6" s="538" customFormat="1" x14ac:dyDescent="0.25">
      <c r="A27" s="549" t="str">
        <f t="shared" si="1"/>
        <v>04-D-022</v>
      </c>
      <c r="B27" s="788" t="str">
        <f t="shared" ca="1" si="2"/>
        <v>Achtste Finale</v>
      </c>
      <c r="C27" s="538" t="s">
        <v>835</v>
      </c>
      <c r="D27" s="538" t="s">
        <v>831</v>
      </c>
      <c r="E27" s="538" t="s">
        <v>1403</v>
      </c>
      <c r="F27" s="538" t="s">
        <v>1717</v>
      </c>
    </row>
    <row r="28" spans="1:6" s="537" customFormat="1" x14ac:dyDescent="0.25">
      <c r="A28" s="550" t="str">
        <f t="shared" si="1"/>
        <v>04-D-023</v>
      </c>
      <c r="B28" s="789" t="str">
        <f t="shared" ca="1" si="2"/>
        <v>Kwartfinale</v>
      </c>
      <c r="C28" s="537" t="s">
        <v>836</v>
      </c>
      <c r="D28" s="537" t="s">
        <v>832</v>
      </c>
      <c r="E28" s="537" t="s">
        <v>1404</v>
      </c>
      <c r="F28" s="537" t="s">
        <v>1718</v>
      </c>
    </row>
    <row r="29" spans="1:6" s="538" customFormat="1" x14ac:dyDescent="0.25">
      <c r="A29" s="549" t="str">
        <f t="shared" si="1"/>
        <v>04-D-024</v>
      </c>
      <c r="B29" s="788" t="str">
        <f t="shared" ca="1" si="2"/>
        <v>Halve finale</v>
      </c>
      <c r="C29" s="538" t="s">
        <v>837</v>
      </c>
      <c r="D29" s="538" t="s">
        <v>833</v>
      </c>
      <c r="E29" s="538" t="s">
        <v>1405</v>
      </c>
      <c r="F29" s="538" t="s">
        <v>1719</v>
      </c>
    </row>
    <row r="30" spans="1:6" s="537" customFormat="1" x14ac:dyDescent="0.25">
      <c r="A30" s="550" t="str">
        <f t="shared" si="1"/>
        <v>04-D-025</v>
      </c>
      <c r="B30" s="789" t="str">
        <f t="shared" ca="1" si="2"/>
        <v>Troostfinale</v>
      </c>
      <c r="C30" s="537" t="s">
        <v>170</v>
      </c>
      <c r="D30" s="537" t="s">
        <v>834</v>
      </c>
      <c r="E30" s="537" t="s">
        <v>1406</v>
      </c>
      <c r="F30" s="537" t="s">
        <v>1720</v>
      </c>
    </row>
    <row r="31" spans="1:6" s="538" customFormat="1" x14ac:dyDescent="0.25">
      <c r="A31" s="549" t="str">
        <f t="shared" si="1"/>
        <v>04-D-026</v>
      </c>
      <c r="B31" s="788" t="str">
        <f t="shared" ca="1" si="2"/>
        <v>Finale</v>
      </c>
      <c r="C31" s="538" t="s">
        <v>21</v>
      </c>
      <c r="D31" s="538" t="s">
        <v>830</v>
      </c>
      <c r="E31" s="538" t="s">
        <v>21</v>
      </c>
      <c r="F31" s="538" t="s">
        <v>830</v>
      </c>
    </row>
    <row r="32" spans="1:6" s="537" customFormat="1" x14ac:dyDescent="0.25">
      <c r="A32" s="550" t="str">
        <f t="shared" si="1"/>
        <v>04-D-027</v>
      </c>
      <c r="B32" s="789" t="str">
        <f t="shared" ca="1" si="2"/>
        <v>Europees kampioen</v>
      </c>
      <c r="C32" s="537" t="s">
        <v>2327</v>
      </c>
      <c r="D32" s="537" t="s">
        <v>2328</v>
      </c>
      <c r="E32" s="537" t="s">
        <v>2329</v>
      </c>
      <c r="F32" s="537" t="s">
        <v>2330</v>
      </c>
    </row>
    <row r="33" spans="1:6" s="538" customFormat="1" x14ac:dyDescent="0.25">
      <c r="A33" s="549" t="str">
        <f t="shared" si="1"/>
        <v>04-D-028</v>
      </c>
      <c r="B33" s="788" t="str">
        <f t="shared" ca="1" si="2"/>
        <v>1 winst voor de thuisploeg, 2 winst voor de uitploeg, 3 gelijkspel</v>
      </c>
      <c r="C33" s="538" t="s">
        <v>272</v>
      </c>
      <c r="D33" s="538" t="s">
        <v>838</v>
      </c>
      <c r="E33" s="538" t="s">
        <v>1407</v>
      </c>
      <c r="F33" s="538" t="s">
        <v>1721</v>
      </c>
    </row>
    <row r="34" spans="1:6" s="537" customFormat="1" x14ac:dyDescent="0.25">
      <c r="A34" s="550" t="str">
        <f t="shared" si="1"/>
        <v>04-D-029</v>
      </c>
      <c r="B34" s="789" t="str">
        <f t="shared" ca="1" si="2"/>
        <v>suggesties altijd weergeven</v>
      </c>
      <c r="C34" s="537" t="s">
        <v>179</v>
      </c>
      <c r="D34" s="537" t="s">
        <v>998</v>
      </c>
      <c r="E34" s="537" t="s">
        <v>1408</v>
      </c>
      <c r="F34" s="537" t="s">
        <v>1722</v>
      </c>
    </row>
    <row r="35" spans="1:6" s="538" customFormat="1" x14ac:dyDescent="0.25">
      <c r="A35" s="549" t="str">
        <f t="shared" si="1"/>
        <v>04-D-030</v>
      </c>
      <c r="B35" s="788" t="str">
        <f t="shared" ca="1" si="2"/>
        <v>suggesties verbergen na keuze</v>
      </c>
      <c r="C35" s="538" t="s">
        <v>178</v>
      </c>
      <c r="D35" s="538" t="s">
        <v>847</v>
      </c>
      <c r="E35" s="538" t="s">
        <v>1409</v>
      </c>
      <c r="F35" s="538" t="s">
        <v>1723</v>
      </c>
    </row>
    <row r="36" spans="1:6" s="537" customFormat="1" x14ac:dyDescent="0.25">
      <c r="A36" s="550" t="str">
        <f t="shared" si="1"/>
        <v>04-D-031</v>
      </c>
      <c r="B36" s="789" t="str">
        <f t="shared" ca="1" si="2"/>
        <v>suggesties niet weergeven</v>
      </c>
      <c r="C36" s="537" t="s">
        <v>846</v>
      </c>
      <c r="D36" s="537" t="s">
        <v>997</v>
      </c>
      <c r="E36" s="537" t="s">
        <v>1410</v>
      </c>
      <c r="F36" s="537" t="s">
        <v>1724</v>
      </c>
    </row>
    <row r="37" spans="1:6" s="538" customFormat="1" x14ac:dyDescent="0.25">
      <c r="A37" s="539" t="str">
        <f t="shared" si="1"/>
        <v>04-D-032</v>
      </c>
      <c r="B37" s="783"/>
    </row>
    <row r="38" spans="1:6" s="537" customFormat="1" x14ac:dyDescent="0.25">
      <c r="A38" s="542" t="str">
        <f t="shared" si="1"/>
        <v>04-D-033</v>
      </c>
      <c r="B38" s="787"/>
    </row>
    <row r="39" spans="1:6" s="538" customFormat="1" x14ac:dyDescent="0.25">
      <c r="A39" s="539" t="str">
        <f t="shared" si="1"/>
        <v>04-D-034</v>
      </c>
      <c r="B39" s="783"/>
    </row>
    <row r="40" spans="1:6" s="537" customFormat="1" x14ac:dyDescent="0.25">
      <c r="A40" s="542" t="str">
        <f t="shared" si="1"/>
        <v>04-D-035</v>
      </c>
      <c r="B40" s="787"/>
    </row>
    <row r="41" spans="1:6" s="538" customFormat="1" x14ac:dyDescent="0.25">
      <c r="A41" s="549" t="str">
        <f t="shared" si="1"/>
        <v>04-D-036</v>
      </c>
      <c r="B41" s="788" t="str">
        <f t="shared" ref="B41:B62" ca="1" si="3">TRIM(INDIRECT(CHAR(64+$C$2)&amp;ROW()))</f>
        <v>Toelichting bij het Invullen</v>
      </c>
      <c r="C41" s="538" t="s">
        <v>185</v>
      </c>
      <c r="D41" s="538" t="s">
        <v>817</v>
      </c>
      <c r="E41" s="538" t="s">
        <v>1411</v>
      </c>
      <c r="F41" s="538" t="s">
        <v>1725</v>
      </c>
    </row>
    <row r="42" spans="1:6" s="537" customFormat="1" x14ac:dyDescent="0.25">
      <c r="A42" s="550" t="str">
        <f t="shared" si="1"/>
        <v>04-D-037</v>
      </c>
      <c r="B42" s="787" t="str">
        <f t="shared" ca="1" si="3"/>
        <v>Het is niet mogelijk om uitslagen te voorspellen waarin één land meer dan 9 doelpunten maakt. Wanneer een land toch meer dan 9 doelpunten maakt tijdens één wedstrijd zal bij de uitslag 9 doelpunten genoteerd worden.</v>
      </c>
      <c r="C42" s="537" t="str">
        <f>Taal03!C23</f>
        <v>Het is niet mogelijk om uitslagen te voorspellen waarin één land meer dan 9 doelpunten maakt. Wanneer een land toch meer dan 9 doelpunten maakt tijdens één wedstrijd zal bij de uitslag 9 doelpunten genoteerd worden.</v>
      </c>
      <c r="D42" s="855" t="str">
        <f>Taal03!D23</f>
        <v>It is not possible to predict results in which one team will score more than 9 goals. If a team scores more than 9 goals during one match, 9 goals will be noted for the result.</v>
      </c>
      <c r="E42" s="855" t="s">
        <v>1284</v>
      </c>
      <c r="F42" s="855" t="s">
        <v>1605</v>
      </c>
    </row>
    <row r="43" spans="1:6" s="538" customFormat="1" x14ac:dyDescent="0.25">
      <c r="A43" s="549" t="str">
        <f t="shared" si="1"/>
        <v>04-D-038</v>
      </c>
      <c r="B43" s="788" t="str">
        <f t="shared" ca="1" si="3"/>
        <v>Voor het voorspellen van de TOTO vult men een 1 in wanneer men denkt dat de thuisploeg zal winnen, een 2 als men denkt dat de uitploeg zal winnen en wanneer men een gelijkspel verwacht vult men een 3 in.</v>
      </c>
      <c r="C43" s="538" t="str">
        <f>Taal03!C24</f>
        <v>Voor het voorspellen van de TOTO vult men een 1 in wanneer men denkt dat de thuisploeg zal winnen, een 2 als men denkt dat de uitploeg zal winnen en wanneer men een gelijkspel verwacht vult men een 3 in.</v>
      </c>
      <c r="D43" s="856" t="str">
        <f>Taal03!D24</f>
        <v>For predicting the TOTO, enter a 1 when you think the home team will win, a 2 if you think the away team will win and when you expect a draw, you enter a 3.</v>
      </c>
      <c r="E43" s="856" t="s">
        <v>1285</v>
      </c>
      <c r="F43" s="856" t="s">
        <v>1606</v>
      </c>
    </row>
    <row r="44" spans="1:6" s="537" customFormat="1" x14ac:dyDescent="0.25">
      <c r="A44" s="550" t="str">
        <f t="shared" si="1"/>
        <v>04-D-039</v>
      </c>
      <c r="B44" s="787" t="str">
        <f t="shared" ca="1" si="3"/>
        <v>De achtergrondkleur van de in te vullen velden geeft de status van het veld aan. Deze status correspondeert met de tabel hier rechts.</v>
      </c>
      <c r="C44" s="537" t="s">
        <v>818</v>
      </c>
      <c r="D44" s="537" t="s">
        <v>819</v>
      </c>
      <c r="E44" s="537" t="s">
        <v>1412</v>
      </c>
      <c r="F44" s="537" t="s">
        <v>1726</v>
      </c>
    </row>
    <row r="45" spans="1:6" s="538" customFormat="1" x14ac:dyDescent="0.25">
      <c r="A45" s="549" t="str">
        <f t="shared" si="1"/>
        <v>04-D-040</v>
      </c>
      <c r="B45" s="788" t="str">
        <f t="shared" ca="1" si="3"/>
        <v>Goed ingevuld</v>
      </c>
      <c r="C45" s="538" t="s">
        <v>28</v>
      </c>
      <c r="D45" s="538" t="s">
        <v>820</v>
      </c>
      <c r="E45" s="538" t="s">
        <v>1413</v>
      </c>
      <c r="F45" s="538" t="s">
        <v>1727</v>
      </c>
    </row>
    <row r="46" spans="1:6" s="537" customFormat="1" x14ac:dyDescent="0.25">
      <c r="A46" s="550" t="str">
        <f t="shared" si="1"/>
        <v>04-D-041</v>
      </c>
      <c r="B46" s="787" t="str">
        <f t="shared" ca="1" si="3"/>
        <v>Niet ingevuld</v>
      </c>
      <c r="C46" s="537" t="s">
        <v>81</v>
      </c>
      <c r="D46" s="537" t="s">
        <v>821</v>
      </c>
      <c r="E46" s="537" t="s">
        <v>1414</v>
      </c>
      <c r="F46" s="537" t="s">
        <v>1728</v>
      </c>
    </row>
    <row r="47" spans="1:6" s="538" customFormat="1" x14ac:dyDescent="0.25">
      <c r="A47" s="549" t="str">
        <f t="shared" si="1"/>
        <v>04-D-042</v>
      </c>
      <c r="B47" s="788" t="str">
        <f t="shared" ca="1" si="3"/>
        <v>Fout ingevuld</v>
      </c>
      <c r="C47" s="538" t="s">
        <v>90</v>
      </c>
      <c r="D47" s="538" t="s">
        <v>822</v>
      </c>
      <c r="E47" s="538" t="s">
        <v>1415</v>
      </c>
      <c r="F47" s="538" t="s">
        <v>1729</v>
      </c>
    </row>
    <row r="48" spans="1:6" s="537" customFormat="1" x14ac:dyDescent="0.25">
      <c r="A48" s="542" t="str">
        <f t="shared" si="1"/>
        <v>04-D-043</v>
      </c>
      <c r="B48" s="787" t="str">
        <f t="shared" ca="1" si="3"/>
        <v/>
      </c>
    </row>
    <row r="49" spans="1:6" s="538" customFormat="1" x14ac:dyDescent="0.25">
      <c r="A49" s="549" t="str">
        <f t="shared" si="1"/>
        <v>04-D-044</v>
      </c>
      <c r="B49" s="788" t="str">
        <f t="shared" ca="1" si="3"/>
        <v>De Groepswedstrijden - Groep A t/m F</v>
      </c>
      <c r="C49" s="538" t="s">
        <v>2331</v>
      </c>
      <c r="D49" s="538" t="s">
        <v>2332</v>
      </c>
      <c r="E49" s="538" t="s">
        <v>2333</v>
      </c>
      <c r="F49" s="538" t="s">
        <v>2334</v>
      </c>
    </row>
    <row r="50" spans="1:6" s="537" customFormat="1" x14ac:dyDescent="0.25">
      <c r="A50" s="550" t="str">
        <f t="shared" si="1"/>
        <v>04-D-045</v>
      </c>
      <c r="B50" s="787" t="str">
        <f t="shared" ca="1" si="3"/>
        <v>Voorspel de uitslag van de groepswedstrijden en vul deze in op dit blad.</v>
      </c>
      <c r="C50" s="537" t="s">
        <v>842</v>
      </c>
      <c r="D50" s="537" t="s">
        <v>841</v>
      </c>
      <c r="E50" s="537" t="s">
        <v>1416</v>
      </c>
      <c r="F50" s="537" t="s">
        <v>1730</v>
      </c>
    </row>
    <row r="51" spans="1:6" s="538" customFormat="1" x14ac:dyDescent="0.25">
      <c r="A51" s="549" t="str">
        <f t="shared" si="1"/>
        <v>04-D-046</v>
      </c>
      <c r="B51" s="788" t="str">
        <f t="shared" ca="1" si="3"/>
        <v>Voorspel welk team de wedstrijd wint of een gelijkspel en vul dit in op dit blad.</v>
      </c>
      <c r="C51" s="538" t="s">
        <v>823</v>
      </c>
      <c r="D51" s="538" t="s">
        <v>839</v>
      </c>
      <c r="E51" s="538" t="s">
        <v>1417</v>
      </c>
      <c r="F51" s="538" t="s">
        <v>1731</v>
      </c>
    </row>
    <row r="52" spans="1:6" s="537" customFormat="1" x14ac:dyDescent="0.25">
      <c r="A52" s="542" t="str">
        <f t="shared" si="1"/>
        <v>04-D-047</v>
      </c>
      <c r="B52" s="787" t="str">
        <f t="shared" ca="1" si="3"/>
        <v/>
      </c>
    </row>
    <row r="53" spans="1:6" s="538" customFormat="1" x14ac:dyDescent="0.25">
      <c r="A53" s="549" t="str">
        <f t="shared" si="1"/>
        <v>04-D-048</v>
      </c>
      <c r="B53" s="788" t="str">
        <f t="shared" ca="1" si="3"/>
        <v>Eindstand Groep A t/m F</v>
      </c>
      <c r="C53" s="538" t="s">
        <v>2338</v>
      </c>
      <c r="D53" s="538" t="s">
        <v>2337</v>
      </c>
      <c r="E53" s="538" t="s">
        <v>2336</v>
      </c>
      <c r="F53" s="538" t="s">
        <v>2335</v>
      </c>
    </row>
    <row r="54" spans="1:6" s="537" customFormat="1" x14ac:dyDescent="0.25">
      <c r="A54" s="550" t="str">
        <f t="shared" si="1"/>
        <v>04-D-049</v>
      </c>
      <c r="B54" s="787" t="str">
        <f t="shared" ca="1" si="3"/>
        <v>Voorspel de eindstand van de verschillende groepen en vul deze in op dit blad.</v>
      </c>
      <c r="C54" s="537" t="s">
        <v>840</v>
      </c>
      <c r="D54" s="537" t="s">
        <v>892</v>
      </c>
      <c r="E54" s="537" t="s">
        <v>1418</v>
      </c>
      <c r="F54" s="537" t="s">
        <v>1732</v>
      </c>
    </row>
    <row r="55" spans="1:6" s="538" customFormat="1" x14ac:dyDescent="0.25">
      <c r="A55" s="549" t="str">
        <f t="shared" si="1"/>
        <v>04-D-050</v>
      </c>
      <c r="B55" s="788" t="str">
        <f t="shared" ca="1" si="3"/>
        <v>Elk land mag maar één keer ingevuld worden bij het voorspellen van de eindstand in de groep.</v>
      </c>
      <c r="C55" s="538" t="s">
        <v>226</v>
      </c>
      <c r="D55" s="538" t="s">
        <v>843</v>
      </c>
      <c r="E55" s="538" t="s">
        <v>1419</v>
      </c>
      <c r="F55" s="538" t="s">
        <v>1733</v>
      </c>
    </row>
    <row r="56" spans="1:6" s="537" customFormat="1" x14ac:dyDescent="0.25">
      <c r="A56" s="550" t="str">
        <f t="shared" si="1"/>
        <v>04-D-051</v>
      </c>
      <c r="B56" s="787" t="str">
        <f t="shared" ca="1" si="3"/>
        <v>Indeling van de groepen</v>
      </c>
      <c r="C56" s="537" t="s">
        <v>844</v>
      </c>
      <c r="D56" s="537" t="s">
        <v>893</v>
      </c>
      <c r="E56" s="537" t="s">
        <v>1420</v>
      </c>
      <c r="F56" s="537" t="s">
        <v>1734</v>
      </c>
    </row>
    <row r="57" spans="1:6" s="538" customFormat="1" x14ac:dyDescent="0.25">
      <c r="A57" s="549" t="str">
        <f t="shared" si="1"/>
        <v>04-D-052</v>
      </c>
      <c r="B57" s="788" t="str">
        <f t="shared" ca="1" si="3"/>
        <v>Om u op weg te helpen kan op basis van voorgaande voorspellingen, mits volledig ingevuld, u een suggestie gegeven worden. U bent niet verplicht deze suggestie op te volgen.</v>
      </c>
      <c r="C57" s="538" t="s">
        <v>1043</v>
      </c>
      <c r="D57" s="538" t="s">
        <v>845</v>
      </c>
      <c r="E57" s="538" t="s">
        <v>1421</v>
      </c>
      <c r="F57" s="538" t="s">
        <v>1735</v>
      </c>
    </row>
    <row r="58" spans="1:6" s="537" customFormat="1" x14ac:dyDescent="0.25">
      <c r="A58" s="550" t="str">
        <f t="shared" si="1"/>
        <v>04-D-053</v>
      </c>
      <c r="B58" s="787" t="str">
        <f t="shared" ca="1" si="3"/>
        <v>Eindstand in de groep op basis van eerdere voorspellingen</v>
      </c>
      <c r="C58" s="537" t="s">
        <v>858</v>
      </c>
      <c r="D58" s="537" t="s">
        <v>894</v>
      </c>
      <c r="E58" s="537" t="s">
        <v>1422</v>
      </c>
      <c r="F58" s="537" t="s">
        <v>1736</v>
      </c>
    </row>
    <row r="59" spans="1:6" s="538" customFormat="1" x14ac:dyDescent="0.25">
      <c r="A59" s="549" t="str">
        <f t="shared" si="1"/>
        <v>04-D-054</v>
      </c>
      <c r="B59" s="788" t="str">
        <f t="shared" ca="1" si="3"/>
        <v>Punten</v>
      </c>
      <c r="C59" s="538" t="s">
        <v>98</v>
      </c>
      <c r="D59" s="538" t="s">
        <v>665</v>
      </c>
      <c r="E59" s="538" t="s">
        <v>1301</v>
      </c>
      <c r="F59" s="538" t="s">
        <v>1617</v>
      </c>
    </row>
    <row r="60" spans="1:6" s="537" customFormat="1" x14ac:dyDescent="0.25">
      <c r="A60" s="550" t="str">
        <f t="shared" si="1"/>
        <v>04-D-055</v>
      </c>
      <c r="B60" s="787" t="str">
        <f t="shared" ca="1" si="3"/>
        <v>Doelpunten voor</v>
      </c>
      <c r="C60" s="537" t="s">
        <v>82</v>
      </c>
      <c r="D60" s="537" t="s">
        <v>859</v>
      </c>
      <c r="E60" s="537" t="s">
        <v>1423</v>
      </c>
      <c r="F60" s="537" t="s">
        <v>1737</v>
      </c>
    </row>
    <row r="61" spans="1:6" s="538" customFormat="1" x14ac:dyDescent="0.25">
      <c r="A61" s="549" t="str">
        <f t="shared" si="1"/>
        <v>04-D-056</v>
      </c>
      <c r="B61" s="788" t="str">
        <f t="shared" ca="1" si="3"/>
        <v>Doelpunten tegen</v>
      </c>
      <c r="C61" s="538" t="s">
        <v>83</v>
      </c>
      <c r="D61" s="538" t="s">
        <v>860</v>
      </c>
      <c r="E61" s="538" t="s">
        <v>1424</v>
      </c>
      <c r="F61" s="538" t="s">
        <v>1738</v>
      </c>
    </row>
    <row r="62" spans="1:6" s="537" customFormat="1" x14ac:dyDescent="0.25">
      <c r="A62" s="550" t="str">
        <f t="shared" si="1"/>
        <v>04-D-057</v>
      </c>
      <c r="B62" s="787" t="str">
        <f t="shared" ca="1" si="3"/>
        <v>LET OP: niet alle wedstrijden in groep # zijn ingevuld.</v>
      </c>
      <c r="C62" s="537" t="s">
        <v>861</v>
      </c>
      <c r="D62" s="537" t="s">
        <v>862</v>
      </c>
      <c r="E62" s="537" t="s">
        <v>1425</v>
      </c>
      <c r="F62" s="537" t="s">
        <v>1739</v>
      </c>
    </row>
    <row r="63" spans="1:6" s="538" customFormat="1" x14ac:dyDescent="0.25">
      <c r="A63" s="539" t="str">
        <f t="shared" si="1"/>
        <v>04-D-058</v>
      </c>
      <c r="B63" s="788"/>
    </row>
    <row r="64" spans="1:6" s="537" customFormat="1" x14ac:dyDescent="0.25">
      <c r="A64" s="550" t="str">
        <f t="shared" si="1"/>
        <v>04-D-059</v>
      </c>
      <c r="B64" s="787" t="str">
        <f t="shared" ref="B64:B78" ca="1" si="4">TRIM(INDIRECT(CHAR(64+$C$2)&amp;ROW()))</f>
        <v>De Finalewedstrijden</v>
      </c>
      <c r="C64" s="537" t="s">
        <v>72</v>
      </c>
      <c r="D64" s="537" t="s">
        <v>874</v>
      </c>
      <c r="E64" s="537" t="s">
        <v>1426</v>
      </c>
      <c r="F64" s="537" t="s">
        <v>1564</v>
      </c>
    </row>
    <row r="65" spans="1:6" s="538" customFormat="1" x14ac:dyDescent="0.25">
      <c r="A65" s="549" t="str">
        <f t="shared" si="1"/>
        <v>04-D-060</v>
      </c>
      <c r="B65" s="788" t="str">
        <f t="shared" ca="1" si="4"/>
        <v>Voorspel de landen en de uitslag van de Finalewedstrijden en vul deze in op dit blad.</v>
      </c>
      <c r="C65" s="538" t="s">
        <v>885</v>
      </c>
      <c r="D65" s="538" t="s">
        <v>890</v>
      </c>
      <c r="E65" s="538" t="s">
        <v>1427</v>
      </c>
      <c r="F65" s="538" t="s">
        <v>1740</v>
      </c>
    </row>
    <row r="66" spans="1:6" s="537" customFormat="1" x14ac:dyDescent="0.25">
      <c r="A66" s="550" t="str">
        <f t="shared" si="1"/>
        <v>04-D-061</v>
      </c>
      <c r="B66" s="787" t="str">
        <f t="shared" ca="1" si="4"/>
        <v>Voorspel de landen en welk team de wedstrijd wint of een gelijkspel en vul dit in op dit blad.</v>
      </c>
      <c r="C66" s="537" t="s">
        <v>886</v>
      </c>
      <c r="D66" s="537" t="s">
        <v>888</v>
      </c>
      <c r="E66" s="537" t="s">
        <v>1428</v>
      </c>
      <c r="F66" s="537" t="s">
        <v>1741</v>
      </c>
    </row>
    <row r="67" spans="1:6" s="538" customFormat="1" x14ac:dyDescent="0.25">
      <c r="A67" s="549" t="str">
        <f t="shared" si="1"/>
        <v>04-D-062</v>
      </c>
      <c r="B67" s="788" t="str">
        <f t="shared" ca="1" si="4"/>
        <v>Voorspel de landen in de Finalewedstrijden en vul deze in op dit blad.</v>
      </c>
      <c r="C67" s="538" t="s">
        <v>887</v>
      </c>
      <c r="D67" s="538" t="s">
        <v>889</v>
      </c>
      <c r="E67" s="538" t="s">
        <v>1429</v>
      </c>
      <c r="F67" s="538" t="s">
        <v>1742</v>
      </c>
    </row>
    <row r="68" spans="1:6" s="569" customFormat="1" x14ac:dyDescent="0.25">
      <c r="A68" s="550" t="str">
        <f t="shared" si="1"/>
        <v>04-D-063</v>
      </c>
      <c r="B68" s="787" t="str">
        <f t="shared" ca="1" si="4"/>
        <v>Het is niet toegestaan een land meerdere keren in te vullen in dezelfde speelronde.</v>
      </c>
      <c r="C68" s="537" t="s">
        <v>938</v>
      </c>
      <c r="D68" s="537" t="s">
        <v>939</v>
      </c>
      <c r="E68" s="537" t="s">
        <v>1430</v>
      </c>
      <c r="F68" s="537" t="s">
        <v>1743</v>
      </c>
    </row>
    <row r="69" spans="1:6" s="538" customFormat="1" x14ac:dyDescent="0.25">
      <c r="A69" s="549" t="str">
        <f t="shared" si="1"/>
        <v>04-D-064</v>
      </c>
      <c r="B69" s="788" t="str">
        <f t="shared" ca="1" si="4"/>
        <v>Om u op weg te helpen kan op basis van voorgaande voorspellingen, mits volledig ingevuld, u een suggestie gegeven worden. U bent niet verplicht deze suggestie op te volgen. Voor de achste finales wordt de voorspelde eindstand van de groepen gebruikt.</v>
      </c>
      <c r="C69" s="538" t="s">
        <v>1042</v>
      </c>
      <c r="D69" s="538" t="s">
        <v>996</v>
      </c>
      <c r="E69" s="538" t="s">
        <v>1431</v>
      </c>
      <c r="F69" s="538" t="s">
        <v>1744</v>
      </c>
    </row>
    <row r="70" spans="1:6" s="537" customFormat="1" x14ac:dyDescent="0.25">
      <c r="A70" s="550" t="str">
        <f t="shared" si="1"/>
        <v>04-D-065</v>
      </c>
      <c r="B70" s="787" t="str">
        <f t="shared" ca="1" si="4"/>
        <v>Om u op weg te helpen kan op basis van voorgaande voorspellingen, mits volledig ingevuld, u een suggestie gegeven worden. U bent niet verplicht deze suggestie op te volgen.</v>
      </c>
      <c r="C70" s="537" t="s">
        <v>1043</v>
      </c>
      <c r="D70" s="537" t="s">
        <v>995</v>
      </c>
      <c r="E70" s="537" t="s">
        <v>1432</v>
      </c>
      <c r="F70" s="537" t="s">
        <v>1735</v>
      </c>
    </row>
    <row r="71" spans="1:6" s="538" customFormat="1" x14ac:dyDescent="0.25">
      <c r="A71" s="549" t="str">
        <f t="shared" si="1"/>
        <v>04-D-066</v>
      </c>
      <c r="B71" s="788" t="str">
        <f t="shared" ca="1" si="4"/>
        <v>Via onderstaande link kunt u de criteria vinden voor het bepalen van de 4 beste nummers 3 in de groepsfase.</v>
      </c>
      <c r="C71" s="538" t="s">
        <v>899</v>
      </c>
      <c r="D71" s="538" t="s">
        <v>900</v>
      </c>
      <c r="E71" s="538" t="s">
        <v>1433</v>
      </c>
      <c r="F71" s="538" t="s">
        <v>1745</v>
      </c>
    </row>
    <row r="72" spans="1:6" s="537" customFormat="1" x14ac:dyDescent="0.25">
      <c r="A72" s="550" t="str">
        <f t="shared" si="1"/>
        <v>04-D-067</v>
      </c>
      <c r="B72" s="787" t="str">
        <f t="shared" ca="1" si="4"/>
        <v>Tevens vind u hier ook de verdeelsleutel voor het bepalen welk team in welke achtste finale speelt.</v>
      </c>
      <c r="C72" s="537" t="s">
        <v>434</v>
      </c>
      <c r="D72" s="537" t="s">
        <v>901</v>
      </c>
      <c r="E72" s="537" t="s">
        <v>1434</v>
      </c>
      <c r="F72" s="537" t="s">
        <v>1746</v>
      </c>
    </row>
    <row r="73" spans="1:6" s="538" customFormat="1" x14ac:dyDescent="0.25">
      <c r="A73" s="549" t="str">
        <f t="shared" si="1"/>
        <v>04-D-068</v>
      </c>
      <c r="B73" s="788" t="str">
        <f t="shared" ca="1" si="4"/>
        <v>www.excel-pool.nl/4beste3</v>
      </c>
      <c r="C73" s="538" t="s">
        <v>432</v>
      </c>
      <c r="D73" s="538" t="s">
        <v>898</v>
      </c>
      <c r="E73" s="538" t="s">
        <v>898</v>
      </c>
      <c r="F73" s="538" t="s">
        <v>432</v>
      </c>
    </row>
    <row r="74" spans="1:6" s="537" customFormat="1" x14ac:dyDescent="0.25">
      <c r="A74" s="550" t="str">
        <f t="shared" si="1"/>
        <v>04-D-069</v>
      </c>
      <c r="B74" s="787" t="str">
        <f t="shared" ca="1" si="4"/>
        <v>Nr.1 Groep</v>
      </c>
      <c r="C74" s="537" t="s">
        <v>902</v>
      </c>
      <c r="D74" s="537" t="s">
        <v>905</v>
      </c>
      <c r="E74" s="537" t="s">
        <v>1435</v>
      </c>
      <c r="F74" s="537" t="s">
        <v>1747</v>
      </c>
    </row>
    <row r="75" spans="1:6" s="538" customFormat="1" x14ac:dyDescent="0.25">
      <c r="A75" s="549" t="str">
        <f t="shared" si="1"/>
        <v>04-D-070</v>
      </c>
      <c r="B75" s="788" t="str">
        <f t="shared" ca="1" si="4"/>
        <v>Nr.2 Groep</v>
      </c>
      <c r="C75" s="538" t="s">
        <v>904</v>
      </c>
      <c r="D75" s="538" t="s">
        <v>906</v>
      </c>
      <c r="E75" s="538" t="s">
        <v>1436</v>
      </c>
      <c r="F75" s="538" t="s">
        <v>1748</v>
      </c>
    </row>
    <row r="76" spans="1:6" s="537" customFormat="1" x14ac:dyDescent="0.25">
      <c r="A76" s="550" t="str">
        <f t="shared" si="1"/>
        <v>04-D-071</v>
      </c>
      <c r="B76" s="787" t="str">
        <f t="shared" ca="1" si="4"/>
        <v>Nr.3 Groep</v>
      </c>
      <c r="C76" s="537" t="s">
        <v>903</v>
      </c>
      <c r="D76" s="537" t="s">
        <v>907</v>
      </c>
      <c r="E76" s="537" t="s">
        <v>1437</v>
      </c>
      <c r="F76" s="537" t="s">
        <v>1749</v>
      </c>
    </row>
    <row r="77" spans="1:6" s="538" customFormat="1" x14ac:dyDescent="0.25">
      <c r="A77" s="549" t="str">
        <f t="shared" si="1"/>
        <v>04-D-072</v>
      </c>
      <c r="B77" s="788" t="str">
        <f t="shared" ca="1" si="4"/>
        <v>Win. Wedstrijd</v>
      </c>
      <c r="C77" s="538" t="s">
        <v>908</v>
      </c>
      <c r="D77" s="538" t="s">
        <v>910</v>
      </c>
      <c r="E77" s="538" t="s">
        <v>1438</v>
      </c>
      <c r="F77" s="538" t="s">
        <v>1750</v>
      </c>
    </row>
    <row r="78" spans="1:6" s="537" customFormat="1" x14ac:dyDescent="0.25">
      <c r="A78" s="550" t="str">
        <f t="shared" si="1"/>
        <v>04-D-073</v>
      </c>
      <c r="B78" s="787" t="str">
        <f t="shared" ca="1" si="4"/>
        <v>Verl. Wedstrijd</v>
      </c>
      <c r="C78" s="537" t="s">
        <v>909</v>
      </c>
      <c r="D78" s="537" t="s">
        <v>911</v>
      </c>
      <c r="E78" s="537" t="s">
        <v>1439</v>
      </c>
      <c r="F78" s="537" t="s">
        <v>1751</v>
      </c>
    </row>
    <row r="79" spans="1:6" s="538" customFormat="1" x14ac:dyDescent="0.25">
      <c r="A79" s="539" t="str">
        <f t="shared" si="1"/>
        <v>04-D-074</v>
      </c>
      <c r="B79" s="788"/>
    </row>
    <row r="80" spans="1:6" s="537" customFormat="1" x14ac:dyDescent="0.25">
      <c r="A80" s="550" t="str">
        <f t="shared" si="1"/>
        <v>04-D-075</v>
      </c>
      <c r="B80" s="787" t="str">
        <f ca="1">TRIM(INDIRECT(CHAR(64+$C$2)&amp;ROW()))</f>
        <v>Om u op weg te helpen kan op basis van voorgaande voorspellingen, mits volledig ingevuld, u een suggestie gegeven worden.</v>
      </c>
      <c r="C80" s="537" t="s">
        <v>1041</v>
      </c>
      <c r="D80" s="537" t="s">
        <v>1040</v>
      </c>
      <c r="E80" s="537" t="s">
        <v>1440</v>
      </c>
      <c r="F80" s="537" t="s">
        <v>1752</v>
      </c>
    </row>
    <row r="81" spans="1:6" s="538" customFormat="1" x14ac:dyDescent="0.25">
      <c r="A81" s="539" t="str">
        <f t="shared" si="1"/>
        <v>04-D-076</v>
      </c>
      <c r="B81" s="788"/>
    </row>
    <row r="82" spans="1:6" s="537" customFormat="1" x14ac:dyDescent="0.25">
      <c r="A82" s="550" t="str">
        <f t="shared" si="1"/>
        <v>04-D-077</v>
      </c>
      <c r="B82" s="787" t="str">
        <f t="shared" ref="B82:B122" ca="1" si="5">TRIM(INDIRECT(CHAR(64+$C$2)&amp;ROW()))</f>
        <v>De Openvragen</v>
      </c>
      <c r="C82" s="537" t="s">
        <v>295</v>
      </c>
      <c r="D82" s="537" t="s">
        <v>944</v>
      </c>
      <c r="E82" s="537" t="s">
        <v>1441</v>
      </c>
      <c r="F82" s="537" t="s">
        <v>1753</v>
      </c>
    </row>
    <row r="83" spans="1:6" s="538" customFormat="1" x14ac:dyDescent="0.25">
      <c r="A83" s="549" t="str">
        <f t="shared" si="1"/>
        <v>04-D-078</v>
      </c>
      <c r="B83" s="788" t="str">
        <f t="shared" ca="1" si="5"/>
        <v>Voor elk goed beantwoorde openvraag ontvangt u ## punt.</v>
      </c>
      <c r="C83" s="538" t="s">
        <v>1000</v>
      </c>
      <c r="D83" s="538" t="s">
        <v>946</v>
      </c>
      <c r="E83" s="538" t="s">
        <v>1442</v>
      </c>
      <c r="F83" s="538" t="s">
        <v>1754</v>
      </c>
    </row>
    <row r="84" spans="1:6" s="537" customFormat="1" x14ac:dyDescent="0.25">
      <c r="A84" s="550" t="str">
        <f t="shared" si="1"/>
        <v>04-D-079</v>
      </c>
      <c r="B84" s="787" t="str">
        <f t="shared" ca="1" si="5"/>
        <v>Voor elk goed beantwoorde openvraag ontvangt u ## punten.</v>
      </c>
      <c r="C84" s="537" t="s">
        <v>1001</v>
      </c>
      <c r="D84" s="537" t="s">
        <v>947</v>
      </c>
      <c r="E84" s="537" t="s">
        <v>1443</v>
      </c>
      <c r="F84" s="537" t="s">
        <v>1754</v>
      </c>
    </row>
    <row r="85" spans="1:6" s="538" customFormat="1" x14ac:dyDescent="0.25">
      <c r="A85" s="549" t="str">
        <f t="shared" si="1"/>
        <v>04-D-080</v>
      </c>
      <c r="B85" s="788" t="str">
        <f t="shared" ca="1" si="5"/>
        <v>Voorspel de topscorer van het toernooi</v>
      </c>
      <c r="C85" s="538" t="s">
        <v>948</v>
      </c>
      <c r="D85" s="538" t="s">
        <v>951</v>
      </c>
      <c r="E85" s="538" t="s">
        <v>1444</v>
      </c>
      <c r="F85" s="538" t="s">
        <v>1755</v>
      </c>
    </row>
    <row r="86" spans="1:6" s="537" customFormat="1" x14ac:dyDescent="0.25">
      <c r="A86" s="550" t="str">
        <f t="shared" si="1"/>
        <v>04-D-081</v>
      </c>
      <c r="B86" s="787" t="str">
        <f t="shared" ca="1" si="5"/>
        <v>Voorspel een ​​speler die een eigen doelpunt scoort</v>
      </c>
      <c r="C86" s="537" t="s">
        <v>949</v>
      </c>
      <c r="D86" s="537" t="s">
        <v>952</v>
      </c>
      <c r="E86" s="537" t="s">
        <v>1445</v>
      </c>
      <c r="F86" s="537" t="s">
        <v>1756</v>
      </c>
    </row>
    <row r="87" spans="1:6" s="538" customFormat="1" x14ac:dyDescent="0.25">
      <c r="A87" s="549" t="str">
        <f t="shared" si="1"/>
        <v>04-D-082</v>
      </c>
      <c r="B87" s="788" t="str">
        <f t="shared" ca="1" si="5"/>
        <v>Voorspel een ​​speler die een rode kaart ontvangt</v>
      </c>
      <c r="C87" s="538" t="s">
        <v>950</v>
      </c>
      <c r="D87" s="538" t="s">
        <v>953</v>
      </c>
      <c r="E87" s="538" t="s">
        <v>1446</v>
      </c>
      <c r="F87" s="538" t="s">
        <v>1757</v>
      </c>
    </row>
    <row r="88" spans="1:6" s="537" customFormat="1" x14ac:dyDescent="0.25">
      <c r="A88" s="550" t="str">
        <f t="shared" si="1"/>
        <v>04-D-083</v>
      </c>
      <c r="B88" s="787" t="str">
        <f t="shared" ca="1" si="5"/>
        <v>Voorspel de topscorer van het Nationale elftal</v>
      </c>
      <c r="C88" s="537" t="s">
        <v>955</v>
      </c>
      <c r="D88" s="537" t="s">
        <v>954</v>
      </c>
      <c r="E88" s="537" t="s">
        <v>1447</v>
      </c>
      <c r="F88" s="537" t="s">
        <v>1758</v>
      </c>
    </row>
    <row r="89" spans="1:6" s="538" customFormat="1" x14ac:dyDescent="0.25">
      <c r="A89" s="549" t="str">
        <f t="shared" si="1"/>
        <v>04-D-084</v>
      </c>
      <c r="B89" s="788" t="str">
        <f t="shared" ca="1" si="5"/>
        <v>Voorspel de topscorer van het</v>
      </c>
      <c r="C89" s="538" t="s">
        <v>956</v>
      </c>
      <c r="D89" s="538" t="s">
        <v>957</v>
      </c>
      <c r="E89" s="538" t="s">
        <v>1448</v>
      </c>
      <c r="F89" s="538" t="s">
        <v>1759</v>
      </c>
    </row>
    <row r="90" spans="1:6" s="537" customFormat="1" x14ac:dyDescent="0.25">
      <c r="A90" s="550" t="str">
        <f t="shared" si="1"/>
        <v>04-D-085</v>
      </c>
      <c r="B90" s="787" t="str">
        <f t="shared" ca="1" si="5"/>
        <v>Voorspel het elftal met de meeste doelpunten</v>
      </c>
      <c r="C90" s="537" t="s">
        <v>959</v>
      </c>
      <c r="D90" s="537" t="s">
        <v>1186</v>
      </c>
      <c r="E90" s="537" t="s">
        <v>1449</v>
      </c>
      <c r="F90" s="537" t="s">
        <v>1760</v>
      </c>
    </row>
    <row r="91" spans="1:6" s="538" customFormat="1" x14ac:dyDescent="0.25">
      <c r="A91" s="549" t="str">
        <f t="shared" si="1"/>
        <v>04-D-086</v>
      </c>
      <c r="B91" s="788" t="str">
        <f t="shared" ca="1" si="5"/>
        <v>Voorspel het elftal met de meeste doelpunten tegen</v>
      </c>
      <c r="C91" s="538" t="s">
        <v>961</v>
      </c>
      <c r="D91" s="538" t="s">
        <v>958</v>
      </c>
      <c r="E91" s="538" t="s">
        <v>1850</v>
      </c>
      <c r="F91" s="538" t="s">
        <v>1761</v>
      </c>
    </row>
    <row r="92" spans="1:6" s="537" customFormat="1" x14ac:dyDescent="0.25">
      <c r="A92" s="550" t="str">
        <f t="shared" si="1"/>
        <v>04-D-087</v>
      </c>
      <c r="B92" s="787" t="str">
        <f t="shared" ca="1" si="5"/>
        <v>Voorspel het elftal met de meeste rode en gele kaarten</v>
      </c>
      <c r="C92" s="537" t="s">
        <v>960</v>
      </c>
      <c r="D92" s="537" t="s">
        <v>962</v>
      </c>
      <c r="E92" s="537" t="s">
        <v>1450</v>
      </c>
      <c r="F92" s="537" t="s">
        <v>1762</v>
      </c>
    </row>
    <row r="93" spans="1:6" s="538" customFormat="1" x14ac:dyDescent="0.25">
      <c r="A93" s="549" t="str">
        <f t="shared" si="1"/>
        <v>04-D-088</v>
      </c>
      <c r="B93" s="788" t="str">
        <f t="shared" ca="1" si="5"/>
        <v>afhankelijk van het reglement worden de doelpunten gescoord tijdens de verlenging wel of niet meegeteld.</v>
      </c>
      <c r="C93" s="538" t="s">
        <v>941</v>
      </c>
      <c r="D93" s="538" t="s">
        <v>963</v>
      </c>
      <c r="E93" s="538" t="s">
        <v>1451</v>
      </c>
      <c r="F93" s="538" t="s">
        <v>1763</v>
      </c>
    </row>
    <row r="94" spans="1:6" s="537" customFormat="1" ht="15" customHeight="1" x14ac:dyDescent="0.25">
      <c r="A94" s="550" t="str">
        <f t="shared" si="1"/>
        <v>04-D-089</v>
      </c>
      <c r="B94" s="787" t="str">
        <f t="shared" ca="1" si="5"/>
        <v>alleen de doelpunten gescoord gedurende de reguliere speeltijd inclusief blessuretijd worden meegeteld.</v>
      </c>
      <c r="C94" s="537" t="s">
        <v>942</v>
      </c>
      <c r="D94" s="537" t="s">
        <v>945</v>
      </c>
      <c r="E94" s="537" t="s">
        <v>1452</v>
      </c>
      <c r="F94" s="537" t="s">
        <v>1764</v>
      </c>
    </row>
    <row r="95" spans="1:6" s="538" customFormat="1" x14ac:dyDescent="0.25">
      <c r="A95" s="549" t="str">
        <f t="shared" si="1"/>
        <v>04-D-090</v>
      </c>
      <c r="B95" s="788" t="str">
        <f t="shared" ca="1" si="5"/>
        <v>alleen de doelpunten gescoord gedurende de reguliere speeltijd, blessuretijd en eventuele verlenging worden meegeteld.</v>
      </c>
      <c r="C95" s="538" t="s">
        <v>943</v>
      </c>
      <c r="D95" s="538" t="s">
        <v>964</v>
      </c>
      <c r="E95" s="538" t="s">
        <v>1453</v>
      </c>
      <c r="F95" s="538" t="s">
        <v>1765</v>
      </c>
    </row>
    <row r="96" spans="1:6" s="537" customFormat="1" x14ac:dyDescent="0.25">
      <c r="A96" s="550" t="str">
        <f t="shared" si="1"/>
        <v>04-D-091</v>
      </c>
      <c r="B96" s="787" t="str">
        <f t="shared" ca="1" si="5"/>
        <v>één rode kaart wordt geteld als twee gele kaarten, bij indirect rood worden de gele kaarten niet meegeteld.</v>
      </c>
      <c r="C96" s="537" t="s">
        <v>940</v>
      </c>
      <c r="D96" s="537" t="s">
        <v>965</v>
      </c>
      <c r="E96" s="537" t="s">
        <v>1454</v>
      </c>
      <c r="F96" s="537" t="s">
        <v>1766</v>
      </c>
    </row>
    <row r="97" spans="1:6" s="538" customFormat="1" x14ac:dyDescent="0.25">
      <c r="A97" s="539" t="str">
        <f t="shared" si="1"/>
        <v>04-D-092</v>
      </c>
      <c r="B97" s="788" t="str">
        <f t="shared" ca="1" si="5"/>
        <v/>
      </c>
    </row>
    <row r="98" spans="1:6" s="537" customFormat="1" x14ac:dyDescent="0.25">
      <c r="A98" s="550" t="str">
        <f t="shared" ref="A98:A163" si="6">LEFT(A97,5)&amp;RIGHT("000"&amp;RIGHT(A97,3)*1+1,3)</f>
        <v>04-D-093</v>
      </c>
      <c r="B98" s="787" t="str">
        <f t="shared" ca="1" si="5"/>
        <v>De Benaderingsvragen</v>
      </c>
      <c r="C98" s="537" t="s">
        <v>296</v>
      </c>
      <c r="D98" s="537" t="s">
        <v>975</v>
      </c>
      <c r="E98" s="537" t="s">
        <v>1455</v>
      </c>
      <c r="F98" s="537" t="s">
        <v>1767</v>
      </c>
    </row>
    <row r="99" spans="1:6" s="538" customFormat="1" x14ac:dyDescent="0.25">
      <c r="A99" s="549" t="str">
        <f t="shared" si="6"/>
        <v>04-D-094</v>
      </c>
      <c r="B99" s="788" t="str">
        <f t="shared" ca="1" si="5"/>
        <v>Voor elk goed beantwoorde benaderingsvraag ontvangt u ## punt.</v>
      </c>
      <c r="C99" s="538" t="s">
        <v>1002</v>
      </c>
      <c r="D99" s="538" t="s">
        <v>981</v>
      </c>
      <c r="E99" s="538" t="s">
        <v>1456</v>
      </c>
      <c r="F99" s="538" t="s">
        <v>1768</v>
      </c>
    </row>
    <row r="100" spans="1:6" s="537" customFormat="1" x14ac:dyDescent="0.25">
      <c r="A100" s="550" t="str">
        <f t="shared" si="6"/>
        <v>04-D-095</v>
      </c>
      <c r="B100" s="787" t="str">
        <f t="shared" ca="1" si="5"/>
        <v>Voor elk goed beantwoorde benaderingsvraag ontvangt u ## punten.</v>
      </c>
      <c r="C100" s="537" t="s">
        <v>1003</v>
      </c>
      <c r="D100" s="537" t="s">
        <v>976</v>
      </c>
      <c r="E100" s="537" t="s">
        <v>1457</v>
      </c>
      <c r="F100" s="537" t="s">
        <v>1768</v>
      </c>
    </row>
    <row r="101" spans="1:6" s="538" customFormat="1" x14ac:dyDescent="0.25">
      <c r="A101" s="549" t="str">
        <f t="shared" si="6"/>
        <v>04-D-096</v>
      </c>
      <c r="B101" s="788" t="str">
        <f t="shared" ca="1" si="5"/>
        <v>Voor elk punt dat de voorspelling afwijkt van de uitkomst $$ punt aftrek tot een maximum van ## punten per benaderingsvraag. Standaard ontvangt men voor elke benaderingsvraag ## punten.</v>
      </c>
      <c r="C101" s="538" t="s">
        <v>1180</v>
      </c>
      <c r="D101" s="538" t="s">
        <v>983</v>
      </c>
      <c r="E101" s="538" t="s">
        <v>1458</v>
      </c>
      <c r="F101" s="538" t="s">
        <v>1769</v>
      </c>
    </row>
    <row r="102" spans="1:6" s="537" customFormat="1" x14ac:dyDescent="0.25">
      <c r="A102" s="550" t="str">
        <f t="shared" si="6"/>
        <v>04-D-097</v>
      </c>
      <c r="B102" s="787" t="str">
        <f t="shared" ca="1" si="5"/>
        <v>Voor elk punt dat de voorspelling afwijkt van de uitkomst $$ punten aftrek tot een maximum van ## punten per benaderingsvraag. Standaard ontvangt men voor elke benaderingsvraag ## punten.</v>
      </c>
      <c r="C102" s="537" t="s">
        <v>1181</v>
      </c>
      <c r="D102" s="537" t="s">
        <v>982</v>
      </c>
      <c r="E102" s="537" t="s">
        <v>1459</v>
      </c>
      <c r="F102" s="537" t="s">
        <v>1770</v>
      </c>
    </row>
    <row r="103" spans="1:6" s="538" customFormat="1" x14ac:dyDescent="0.25">
      <c r="A103" s="549" t="str">
        <f t="shared" si="6"/>
        <v>04-D-098</v>
      </c>
      <c r="B103" s="788" t="str">
        <f t="shared" ca="1" si="5"/>
        <v>Per benaderingsvraag wordt de voorspelling die het dichtst bij de uitkomst ligt beloond met ## punt.</v>
      </c>
      <c r="C103" s="538" t="s">
        <v>1182</v>
      </c>
      <c r="D103" s="538" t="s">
        <v>979</v>
      </c>
      <c r="E103" s="538" t="s">
        <v>1460</v>
      </c>
      <c r="F103" s="538" t="s">
        <v>1771</v>
      </c>
    </row>
    <row r="104" spans="1:6" s="537" customFormat="1" x14ac:dyDescent="0.25">
      <c r="A104" s="550" t="str">
        <f t="shared" si="6"/>
        <v>04-D-099</v>
      </c>
      <c r="B104" s="787" t="str">
        <f t="shared" ca="1" si="5"/>
        <v>Per benaderingsvraag wordt de voorspelling die het dichtst bij de uitkomst ligt beloond met ## punten.</v>
      </c>
      <c r="C104" s="537" t="s">
        <v>1183</v>
      </c>
      <c r="D104" s="537" t="s">
        <v>977</v>
      </c>
      <c r="E104" s="537" t="s">
        <v>1461</v>
      </c>
      <c r="F104" s="537" t="s">
        <v>1772</v>
      </c>
    </row>
    <row r="105" spans="1:6" s="538" customFormat="1" x14ac:dyDescent="0.25">
      <c r="A105" s="549" t="str">
        <f t="shared" si="6"/>
        <v>04-D-100</v>
      </c>
      <c r="B105" s="788" t="str">
        <f t="shared" ca="1" si="5"/>
        <v>Per benaderingsvraag worden de $$ voorspellingen die het dichtst bij de uitkomst liggen beloond met ## punt.</v>
      </c>
      <c r="C105" s="538" t="s">
        <v>1184</v>
      </c>
      <c r="D105" s="538" t="s">
        <v>980</v>
      </c>
      <c r="E105" s="538" t="s">
        <v>1462</v>
      </c>
      <c r="F105" s="538" t="s">
        <v>1773</v>
      </c>
    </row>
    <row r="106" spans="1:6" s="537" customFormat="1" x14ac:dyDescent="0.25">
      <c r="A106" s="550" t="str">
        <f t="shared" si="6"/>
        <v>04-D-101</v>
      </c>
      <c r="B106" s="787" t="str">
        <f t="shared" ca="1" si="5"/>
        <v>Per benaderingsvraag worden de $$ voorspellingen die het dichtst bij de uitkomst liggen beloond met ## punten.</v>
      </c>
      <c r="C106" s="537" t="s">
        <v>1185</v>
      </c>
      <c r="D106" s="537" t="s">
        <v>978</v>
      </c>
      <c r="E106" s="537" t="s">
        <v>1463</v>
      </c>
      <c r="F106" s="537" t="s">
        <v>1774</v>
      </c>
    </row>
    <row r="107" spans="1:6" s="538" customFormat="1" x14ac:dyDescent="0.25">
      <c r="A107" s="549" t="str">
        <f t="shared" si="6"/>
        <v>04-D-102</v>
      </c>
      <c r="B107" s="788" t="str">
        <f t="shared" ca="1" si="5"/>
        <v>Totaal aantal gescoorde doelpunten tijdens het gehele toernooi</v>
      </c>
      <c r="C107" s="538" t="s">
        <v>971</v>
      </c>
      <c r="D107" s="538" t="s">
        <v>986</v>
      </c>
      <c r="E107" s="538" t="s">
        <v>1464</v>
      </c>
      <c r="F107" s="538" t="s">
        <v>1775</v>
      </c>
    </row>
    <row r="108" spans="1:6" s="537" customFormat="1" x14ac:dyDescent="0.25">
      <c r="A108" s="550" t="str">
        <f t="shared" si="6"/>
        <v>04-D-103</v>
      </c>
      <c r="B108" s="787" t="str">
        <f t="shared" ca="1" si="5"/>
        <v>Totaal aantal gegeven gele kaarten tijdens het gehele toernooi</v>
      </c>
      <c r="C108" s="537" t="s">
        <v>968</v>
      </c>
      <c r="D108" s="537" t="s">
        <v>984</v>
      </c>
      <c r="E108" s="537" t="s">
        <v>1465</v>
      </c>
      <c r="F108" s="537" t="s">
        <v>1776</v>
      </c>
    </row>
    <row r="109" spans="1:6" s="538" customFormat="1" x14ac:dyDescent="0.25">
      <c r="A109" s="549" t="str">
        <f t="shared" si="6"/>
        <v>04-D-104</v>
      </c>
      <c r="B109" s="788" t="str">
        <f t="shared" ca="1" si="5"/>
        <v>Totaal aantal gegeven rode kaarten tijdens het gehele toernooi</v>
      </c>
      <c r="C109" s="538" t="s">
        <v>969</v>
      </c>
      <c r="D109" s="538" t="s">
        <v>985</v>
      </c>
      <c r="E109" s="538" t="s">
        <v>1466</v>
      </c>
      <c r="F109" s="538" t="s">
        <v>1777</v>
      </c>
    </row>
    <row r="110" spans="1:6" s="537" customFormat="1" x14ac:dyDescent="0.25">
      <c r="A110" s="550" t="str">
        <f t="shared" si="6"/>
        <v>04-D-105</v>
      </c>
      <c r="B110" s="787" t="str">
        <f t="shared" ca="1" si="5"/>
        <v>Aantal wedstrijden die eindigen in een gelijkspel voor beide teams</v>
      </c>
      <c r="C110" s="537" t="s">
        <v>970</v>
      </c>
      <c r="D110" s="537" t="s">
        <v>987</v>
      </c>
      <c r="E110" s="537" t="s">
        <v>1467</v>
      </c>
      <c r="F110" s="537" t="s">
        <v>1778</v>
      </c>
    </row>
    <row r="111" spans="1:6" s="538" customFormat="1" x14ac:dyDescent="0.25">
      <c r="A111" s="549" t="str">
        <f t="shared" si="6"/>
        <v>04-D-106</v>
      </c>
      <c r="B111" s="788" t="str">
        <f t="shared" ca="1" si="5"/>
        <v>Aantal wedstrijden die eindigen in winst voor één van de teams</v>
      </c>
      <c r="C111" s="538" t="s">
        <v>972</v>
      </c>
      <c r="D111" s="538" t="s">
        <v>988</v>
      </c>
      <c r="E111" s="538" t="s">
        <v>1468</v>
      </c>
      <c r="F111" s="538" t="s">
        <v>1779</v>
      </c>
    </row>
    <row r="112" spans="1:6" s="537" customFormat="1" x14ac:dyDescent="0.25">
      <c r="A112" s="550" t="str">
        <f t="shared" si="6"/>
        <v>04-D-107</v>
      </c>
      <c r="B112" s="787" t="str">
        <f t="shared" ca="1" si="5"/>
        <v>twee gele kaarten voor één speler in een wedstrijd zal worden geteld als één rode kaart.</v>
      </c>
      <c r="C112" s="537" t="s">
        <v>989</v>
      </c>
      <c r="D112" s="537" t="s">
        <v>990</v>
      </c>
      <c r="E112" s="537" t="s">
        <v>1469</v>
      </c>
      <c r="F112" s="537" t="s">
        <v>1780</v>
      </c>
    </row>
    <row r="113" spans="1:6" s="538" customFormat="1" x14ac:dyDescent="0.25">
      <c r="A113" s="549" t="str">
        <f t="shared" si="6"/>
        <v>04-D-108</v>
      </c>
      <c r="B113" s="788" t="str">
        <f t="shared" ca="1" si="5"/>
        <v>de stand na de reguliere speeltijd inclusief blessuretijd wordt aangehouden.</v>
      </c>
      <c r="C113" s="538" t="s">
        <v>973</v>
      </c>
      <c r="D113" s="538" t="s">
        <v>991</v>
      </c>
      <c r="E113" s="538" t="s">
        <v>1470</v>
      </c>
      <c r="F113" s="538" t="s">
        <v>1781</v>
      </c>
    </row>
    <row r="114" spans="1:6" s="537" customFormat="1" x14ac:dyDescent="0.25">
      <c r="A114" s="550" t="str">
        <f t="shared" si="6"/>
        <v>04-D-109</v>
      </c>
      <c r="B114" s="787" t="str">
        <f t="shared" ca="1" si="5"/>
        <v>de stand na de reguliere speeltijd, blessurre tijd en eventuele verlenging wordt aangehouden.</v>
      </c>
      <c r="C114" s="537" t="s">
        <v>974</v>
      </c>
      <c r="D114" s="537" t="s">
        <v>992</v>
      </c>
      <c r="E114" s="537" t="s">
        <v>1471</v>
      </c>
      <c r="F114" s="537" t="s">
        <v>1782</v>
      </c>
    </row>
    <row r="115" spans="1:6" s="538" customFormat="1" x14ac:dyDescent="0.25">
      <c r="A115" s="549" t="str">
        <f t="shared" si="6"/>
        <v>04-D-110</v>
      </c>
      <c r="B115" s="788" t="str">
        <f t="shared" ca="1" si="5"/>
        <v>TIP</v>
      </c>
      <c r="C115" s="538" t="s">
        <v>993</v>
      </c>
      <c r="D115" s="538" t="s">
        <v>994</v>
      </c>
      <c r="E115" s="538" t="s">
        <v>1472</v>
      </c>
      <c r="F115" s="538" t="s">
        <v>1783</v>
      </c>
    </row>
    <row r="116" spans="1:6" s="537" customFormat="1" x14ac:dyDescent="0.25">
      <c r="A116" s="550" t="str">
        <f t="shared" si="6"/>
        <v>04-D-111</v>
      </c>
      <c r="B116" s="787" t="str">
        <f t="shared" ca="1" si="5"/>
        <v>Het toernooi bestaat uit 51 wedstrijden waarvan 36 groepswedstrijden en 15 finales.</v>
      </c>
      <c r="C116" s="537" t="s">
        <v>2339</v>
      </c>
      <c r="D116" s="537" t="s">
        <v>2340</v>
      </c>
      <c r="E116" s="537" t="s">
        <v>2341</v>
      </c>
      <c r="F116" s="537" t="s">
        <v>2342</v>
      </c>
    </row>
    <row r="117" spans="1:6" s="538" customFormat="1" x14ac:dyDescent="0.25">
      <c r="A117" s="549" t="str">
        <f t="shared" si="6"/>
        <v>04-D-112</v>
      </c>
      <c r="B117" s="788" t="str">
        <f t="shared" ca="1" si="5"/>
        <v>Het toernooi bestaat</v>
      </c>
      <c r="C117" s="538" t="s">
        <v>1038</v>
      </c>
      <c r="D117" s="538" t="s">
        <v>1036</v>
      </c>
      <c r="E117" s="538" t="s">
        <v>1867</v>
      </c>
      <c r="F117" s="538" t="s">
        <v>1869</v>
      </c>
    </row>
    <row r="118" spans="1:6" s="537" customFormat="1" x14ac:dyDescent="0.25">
      <c r="A118" s="550" t="str">
        <f t="shared" si="6"/>
        <v>04-D-113</v>
      </c>
      <c r="B118" s="787" t="str">
        <f t="shared" ca="1" si="5"/>
        <v>uit 51 wedstrijden</v>
      </c>
      <c r="C118" s="537" t="s">
        <v>2344</v>
      </c>
      <c r="D118" s="537" t="s">
        <v>2346</v>
      </c>
      <c r="E118" s="537" t="s">
        <v>2349</v>
      </c>
      <c r="F118" s="537" t="s">
        <v>2352</v>
      </c>
    </row>
    <row r="119" spans="1:6" s="538" customFormat="1" x14ac:dyDescent="0.25">
      <c r="A119" s="549" t="str">
        <f t="shared" si="6"/>
        <v>04-D-114</v>
      </c>
      <c r="B119" s="788" t="str">
        <f t="shared" ca="1" si="5"/>
        <v>waarvan 36 groeps-</v>
      </c>
      <c r="C119" s="538" t="s">
        <v>2345</v>
      </c>
      <c r="D119" s="538" t="s">
        <v>1037</v>
      </c>
      <c r="E119" s="538" t="s">
        <v>1868</v>
      </c>
      <c r="F119" s="538" t="s">
        <v>2353</v>
      </c>
    </row>
    <row r="120" spans="1:6" s="537" customFormat="1" x14ac:dyDescent="0.25">
      <c r="A120" s="550" t="str">
        <f t="shared" si="6"/>
        <v>04-D-115</v>
      </c>
      <c r="B120" s="787" t="str">
        <f t="shared" ca="1" si="5"/>
        <v>wedstrijden en 15</v>
      </c>
      <c r="C120" s="537" t="s">
        <v>2343</v>
      </c>
      <c r="D120" s="537" t="s">
        <v>2347</v>
      </c>
      <c r="E120" s="537" t="s">
        <v>2350</v>
      </c>
      <c r="F120" s="537" t="s">
        <v>2354</v>
      </c>
    </row>
    <row r="121" spans="1:6" s="538" customFormat="1" x14ac:dyDescent="0.25">
      <c r="A121" s="549" t="str">
        <f t="shared" si="6"/>
        <v>04-D-116</v>
      </c>
      <c r="B121" s="788" t="str">
        <f t="shared" ca="1" si="5"/>
        <v>finales.</v>
      </c>
      <c r="C121" s="538" t="s">
        <v>1039</v>
      </c>
      <c r="D121" s="538" t="s">
        <v>2348</v>
      </c>
      <c r="E121" s="538" t="s">
        <v>2351</v>
      </c>
      <c r="F121" s="538" t="s">
        <v>1870</v>
      </c>
    </row>
    <row r="122" spans="1:6" s="537" customFormat="1" x14ac:dyDescent="0.25">
      <c r="A122" s="542" t="str">
        <f t="shared" si="6"/>
        <v>04-D-117</v>
      </c>
      <c r="B122" s="787" t="str">
        <f t="shared" ca="1" si="5"/>
        <v/>
      </c>
    </row>
    <row r="123" spans="1:6" s="538" customFormat="1" x14ac:dyDescent="0.25">
      <c r="A123" s="539" t="str">
        <f t="shared" si="6"/>
        <v>04-D-118</v>
      </c>
      <c r="B123" s="788"/>
    </row>
    <row r="124" spans="1:6" s="537" customFormat="1" x14ac:dyDescent="0.25">
      <c r="A124" s="550" t="str">
        <f t="shared" si="6"/>
        <v>04-D-119</v>
      </c>
      <c r="B124" s="787" t="str">
        <f t="shared" ref="B124:B143" ca="1" si="7">TRIM(INDIRECT(CHAR(64+$C$2)&amp;ROW()))</f>
        <v>De Stellingen</v>
      </c>
      <c r="C124" s="537" t="s">
        <v>297</v>
      </c>
      <c r="D124" s="537" t="s">
        <v>999</v>
      </c>
      <c r="E124" s="537" t="s">
        <v>1473</v>
      </c>
      <c r="F124" s="537" t="s">
        <v>1784</v>
      </c>
    </row>
    <row r="125" spans="1:6" s="538" customFormat="1" x14ac:dyDescent="0.25">
      <c r="A125" s="549" t="str">
        <f t="shared" si="6"/>
        <v>04-D-120</v>
      </c>
      <c r="B125" s="788" t="str">
        <f t="shared" ca="1" si="7"/>
        <v>Voor elk goed beantwoorde stelling ontvangt u ## punt.</v>
      </c>
      <c r="C125" s="538" t="s">
        <v>1028</v>
      </c>
      <c r="D125" s="538" t="s">
        <v>1030</v>
      </c>
      <c r="E125" s="538" t="s">
        <v>1474</v>
      </c>
      <c r="F125" s="538" t="s">
        <v>1785</v>
      </c>
    </row>
    <row r="126" spans="1:6" s="537" customFormat="1" x14ac:dyDescent="0.25">
      <c r="A126" s="550" t="str">
        <f t="shared" si="6"/>
        <v>04-D-121</v>
      </c>
      <c r="B126" s="787" t="str">
        <f t="shared" ca="1" si="7"/>
        <v>Voor elk goed beantwoorde stelling ontvangt u ## punten.</v>
      </c>
      <c r="C126" s="537" t="s">
        <v>1029</v>
      </c>
      <c r="D126" s="537" t="s">
        <v>1031</v>
      </c>
      <c r="E126" s="537" t="s">
        <v>1475</v>
      </c>
      <c r="F126" s="537" t="s">
        <v>1786</v>
      </c>
    </row>
    <row r="127" spans="1:6" s="538" customFormat="1" x14ac:dyDescent="0.25">
      <c r="A127" s="549" t="str">
        <f t="shared" si="6"/>
        <v>04-D-122</v>
      </c>
      <c r="B127" s="788" t="str">
        <f t="shared" ca="1" si="7"/>
        <v>Eens</v>
      </c>
      <c r="C127" s="538" t="s">
        <v>1032</v>
      </c>
      <c r="D127" s="538" t="s">
        <v>1034</v>
      </c>
      <c r="E127" s="538" t="s">
        <v>1923</v>
      </c>
      <c r="F127" s="538" t="s">
        <v>1787</v>
      </c>
    </row>
    <row r="128" spans="1:6" s="537" customFormat="1" x14ac:dyDescent="0.25">
      <c r="A128" s="550" t="str">
        <f t="shared" si="6"/>
        <v>04-D-123</v>
      </c>
      <c r="B128" s="787" t="str">
        <f t="shared" ca="1" si="7"/>
        <v>Oneens</v>
      </c>
      <c r="C128" s="537" t="s">
        <v>1033</v>
      </c>
      <c r="D128" s="537" t="s">
        <v>1035</v>
      </c>
      <c r="E128" s="537" t="s">
        <v>1924</v>
      </c>
      <c r="F128" s="537" t="s">
        <v>1788</v>
      </c>
    </row>
    <row r="129" spans="1:8" s="824" customFormat="1" x14ac:dyDescent="0.25">
      <c r="A129" s="549" t="str">
        <f t="shared" si="6"/>
        <v>04-D-124</v>
      </c>
      <c r="B129" s="788" t="str">
        <f t="shared" ca="1" si="7"/>
        <v>Net zoals tijdens EURO 2020 weten België, Duitsland, Engeland, Frankrijk, Italië, Nederland, Portugal en Spanje allen de achtste finales te bereiken.</v>
      </c>
      <c r="C129" s="538" t="s">
        <v>2433</v>
      </c>
      <c r="D129" s="538" t="s">
        <v>2454</v>
      </c>
      <c r="E129" s="538" t="s">
        <v>2436</v>
      </c>
      <c r="F129" s="538" t="s">
        <v>2455</v>
      </c>
    </row>
    <row r="130" spans="1:8" s="825" customFormat="1" x14ac:dyDescent="0.25">
      <c r="A130" s="550" t="str">
        <f t="shared" si="6"/>
        <v>04-D-125</v>
      </c>
      <c r="B130" s="787" t="str">
        <f t="shared" ca="1" si="7"/>
        <v>Van de vier landen die als beste nr. 3 doorgaan naar de achtste finales weet er minimaal één ook de kwartfinales te bereiken.</v>
      </c>
      <c r="C130" s="537" t="s">
        <v>2408</v>
      </c>
      <c r="D130" s="537" t="s">
        <v>2409</v>
      </c>
      <c r="E130" s="537" t="s">
        <v>2410</v>
      </c>
      <c r="F130" s="537" t="s">
        <v>2411</v>
      </c>
    </row>
    <row r="131" spans="1:8" s="824" customFormat="1" x14ac:dyDescent="0.25">
      <c r="A131" s="549" t="str">
        <f t="shared" si="6"/>
        <v>04-D-126</v>
      </c>
      <c r="B131" s="788" t="str">
        <f t="shared" ca="1" si="7"/>
        <v>Van de zes groepswinnaars weten er minimaal vijf de achtste finales te overleven en zo ook de kwartfinales te bereiken.</v>
      </c>
      <c r="C131" s="538" t="s">
        <v>2404</v>
      </c>
      <c r="D131" s="538" t="s">
        <v>2405</v>
      </c>
      <c r="E131" s="538" t="s">
        <v>2406</v>
      </c>
      <c r="F131" s="538" t="s">
        <v>2407</v>
      </c>
    </row>
    <row r="132" spans="1:8" s="825" customFormat="1" x14ac:dyDescent="0.25">
      <c r="A132" s="550" t="str">
        <f t="shared" si="6"/>
        <v>04-D-127</v>
      </c>
      <c r="B132" s="787" t="str">
        <f t="shared" ca="1" si="7"/>
        <v>Van de vijftien finale wedstrijden worden zes wedstrijden of meer beslist door een verlenging of strafschoppenserie.</v>
      </c>
      <c r="C132" s="537" t="s">
        <v>2412</v>
      </c>
      <c r="D132" s="537" t="s">
        <v>2413</v>
      </c>
      <c r="E132" s="537" t="s">
        <v>2414</v>
      </c>
      <c r="F132" s="537" t="s">
        <v>2415</v>
      </c>
    </row>
    <row r="133" spans="1:8" s="824" customFormat="1" x14ac:dyDescent="0.25">
      <c r="A133" s="549" t="str">
        <f t="shared" si="6"/>
        <v>04-D-128</v>
      </c>
      <c r="B133" s="788" t="str">
        <f t="shared" ca="1" si="7"/>
        <v>De finale van het toernooi zal worden gespeeld door twee landen die in de groepsfase eerste van de groep zijn geworden.</v>
      </c>
      <c r="C133" s="538" t="s">
        <v>2430</v>
      </c>
      <c r="D133" s="538" t="s">
        <v>2429</v>
      </c>
      <c r="E133" s="538" t="s">
        <v>2431</v>
      </c>
      <c r="F133" s="538" t="s">
        <v>2432</v>
      </c>
    </row>
    <row r="134" spans="1:8" s="825" customFormat="1" x14ac:dyDescent="0.25">
      <c r="A134" s="550" t="str">
        <f t="shared" si="6"/>
        <v>04-D-129</v>
      </c>
      <c r="B134" s="787" t="str">
        <f t="shared" ca="1" si="7"/>
        <v>Tijdens EURO 2020 stonden Engeland en Italië in de finale tegenover elkaar. Één of beide teams weten ook deze editie weer te finale te bereiken.</v>
      </c>
      <c r="C134" s="537" t="s">
        <v>2434</v>
      </c>
      <c r="D134" s="537" t="s">
        <v>2435</v>
      </c>
      <c r="E134" s="537" t="s">
        <v>2437</v>
      </c>
      <c r="F134" s="537" t="s">
        <v>2438</v>
      </c>
    </row>
    <row r="135" spans="1:8" s="824" customFormat="1" x14ac:dyDescent="0.25">
      <c r="A135" s="549" t="str">
        <f t="shared" si="6"/>
        <v>04-D-130</v>
      </c>
      <c r="B135" s="788" t="str">
        <f t="shared" ca="1" si="7"/>
        <v>Het land dat zich aan het einde van het toernooi Europees kampioen mag noemen is één van de landen uit groep A, B of C.</v>
      </c>
      <c r="C135" s="538" t="s">
        <v>2425</v>
      </c>
      <c r="D135" s="538" t="s">
        <v>2426</v>
      </c>
      <c r="E135" s="538" t="s">
        <v>2427</v>
      </c>
      <c r="F135" s="538" t="s">
        <v>2428</v>
      </c>
    </row>
    <row r="136" spans="1:8" s="825" customFormat="1" x14ac:dyDescent="0.25">
      <c r="A136" s="550" t="str">
        <f t="shared" si="6"/>
        <v>04-D-131</v>
      </c>
      <c r="B136" s="787" t="str">
        <f t="shared" ca="1" si="7"/>
        <v>De winnaar van het toernooi weet al zijn finalewedstrijden, 4 stuks, te winnen binnen de reguliere speeltijd (inclusief blessuretijd).</v>
      </c>
      <c r="C136" s="537" t="s">
        <v>1045</v>
      </c>
      <c r="D136" s="537" t="s">
        <v>1048</v>
      </c>
      <c r="E136" s="537" t="s">
        <v>1476</v>
      </c>
      <c r="F136" s="537" t="s">
        <v>1789</v>
      </c>
    </row>
    <row r="137" spans="1:8" s="824" customFormat="1" x14ac:dyDescent="0.25">
      <c r="A137" s="549" t="str">
        <f t="shared" si="6"/>
        <v>04-D-132</v>
      </c>
      <c r="B137" s="788" t="str">
        <f t="shared" ca="1" si="7"/>
        <v>De winnaar van het toernooi heeft een beter doelsaldo dan de andere teams. In geval van een gelijk doelsaldo zijn de gescoorde doelpunten doorslaggevend.</v>
      </c>
      <c r="C137" s="538" t="s">
        <v>1050</v>
      </c>
      <c r="D137" s="538" t="s">
        <v>1049</v>
      </c>
      <c r="E137" s="538" t="s">
        <v>1477</v>
      </c>
      <c r="F137" s="538" t="s">
        <v>1790</v>
      </c>
      <c r="H137" s="824" t="s">
        <v>1791</v>
      </c>
    </row>
    <row r="138" spans="1:8" s="825" customFormat="1" x14ac:dyDescent="0.25">
      <c r="A138" s="550" t="str">
        <f t="shared" si="6"/>
        <v>04-D-133</v>
      </c>
      <c r="B138" s="787" t="str">
        <f t="shared" ca="1" si="7"/>
        <v>De winnaar van het toernooi levert tevens ook de topscorer van het toernooi of één van de topscorers.</v>
      </c>
      <c r="C138" s="537" t="s">
        <v>2416</v>
      </c>
      <c r="D138" s="537" t="s">
        <v>1051</v>
      </c>
      <c r="E138" s="537" t="s">
        <v>1478</v>
      </c>
      <c r="F138" s="537" t="s">
        <v>1791</v>
      </c>
    </row>
    <row r="139" spans="1:8" s="824" customFormat="1" x14ac:dyDescent="0.25">
      <c r="A139" s="549" t="str">
        <f t="shared" si="6"/>
        <v>04-D-134</v>
      </c>
      <c r="B139" s="788" t="str">
        <f t="shared" ca="1" si="7"/>
        <v>Tijdens het toernooi weet een speler in één wedstrijd drie keer of meer te scoren, oftewel een hattrick. Benutte penalty's tijdens een strafschoppenserie tellen niet mee.</v>
      </c>
      <c r="C139" s="538" t="s">
        <v>1885</v>
      </c>
      <c r="D139" s="538" t="s">
        <v>1052</v>
      </c>
      <c r="E139" s="538" t="s">
        <v>1479</v>
      </c>
      <c r="F139" s="538" t="s">
        <v>1792</v>
      </c>
    </row>
    <row r="140" spans="1:8" s="825" customFormat="1" x14ac:dyDescent="0.25">
      <c r="A140" s="550" t="str">
        <f t="shared" si="6"/>
        <v>04-D-135</v>
      </c>
      <c r="B140" s="787" t="str">
        <f t="shared" ca="1" si="7"/>
        <v>Alle 24 deelnemende landen weten elk minimaal één keer te scoren gedurende het toernooi.</v>
      </c>
      <c r="C140" s="537" t="s">
        <v>2417</v>
      </c>
      <c r="D140" s="537" t="s">
        <v>2418</v>
      </c>
      <c r="E140" s="537" t="s">
        <v>2420</v>
      </c>
      <c r="F140" s="537" t="s">
        <v>2419</v>
      </c>
    </row>
    <row r="141" spans="1:8" s="824" customFormat="1" x14ac:dyDescent="0.25">
      <c r="A141" s="549" t="str">
        <f t="shared" si="6"/>
        <v>04-D-136</v>
      </c>
      <c r="B141" s="788" t="str">
        <f t="shared" ca="1" si="7"/>
        <v>Van alle gescoorde doelpunten tijdens het toernooi worden er minimaal vijf in eigen doel gescoord.</v>
      </c>
      <c r="C141" s="538" t="s">
        <v>2421</v>
      </c>
      <c r="D141" s="538" t="s">
        <v>2422</v>
      </c>
      <c r="E141" s="538" t="s">
        <v>2423</v>
      </c>
      <c r="F141" s="538" t="s">
        <v>2424</v>
      </c>
    </row>
    <row r="142" spans="1:8" s="825" customFormat="1" x14ac:dyDescent="0.25">
      <c r="A142" s="550" t="str">
        <f t="shared" si="6"/>
        <v>04-D-137</v>
      </c>
      <c r="B142" s="787" t="str">
        <f t="shared" ca="1" si="7"/>
        <v>Gedurende het toernooi worden er niet meer dan zes doelpunten gescoord in één wedstrijd (inclusief een eventuele verlenging).</v>
      </c>
      <c r="C142" s="537" t="s">
        <v>1909</v>
      </c>
      <c r="D142" s="537" t="s">
        <v>1910</v>
      </c>
      <c r="E142" s="537" t="str">
        <f>D142</f>
        <v>During the tournament, no more than six goals will be scored in one match (including any extra time).</v>
      </c>
      <c r="F142" s="537" t="s">
        <v>2173</v>
      </c>
    </row>
    <row r="143" spans="1:8" s="824" customFormat="1" x14ac:dyDescent="0.25">
      <c r="A143" s="549" t="str">
        <f t="shared" si="6"/>
        <v>04-D-138</v>
      </c>
      <c r="B143" s="788" t="str">
        <f t="shared" ca="1" si="7"/>
        <v>Gedurende het toernooi weet de scheidsrechter in twee of meerdere wedstrijden zijn kaarten op zak te houden.</v>
      </c>
      <c r="C143" s="538" t="s">
        <v>1881</v>
      </c>
      <c r="D143" s="538" t="s">
        <v>1882</v>
      </c>
      <c r="E143" s="538" t="s">
        <v>1884</v>
      </c>
      <c r="F143" s="538" t="s">
        <v>1883</v>
      </c>
    </row>
    <row r="144" spans="1:8" s="537" customFormat="1" x14ac:dyDescent="0.25">
      <c r="A144" s="542" t="str">
        <f t="shared" si="6"/>
        <v>04-D-139</v>
      </c>
      <c r="B144" s="787"/>
    </row>
    <row r="145" spans="1:6" s="538" customFormat="1" x14ac:dyDescent="0.25">
      <c r="A145" s="539" t="str">
        <f t="shared" si="6"/>
        <v>04-D-140</v>
      </c>
      <c r="B145" s="788"/>
    </row>
    <row r="146" spans="1:6" s="537" customFormat="1" x14ac:dyDescent="0.25">
      <c r="A146" s="550" t="str">
        <f t="shared" si="6"/>
        <v>04-D-141</v>
      </c>
      <c r="B146" s="787" t="str">
        <f t="shared" ref="B146:B156" ca="1" si="8">TRIM(INDIRECT(CHAR(64+$C$2)&amp;ROW()))</f>
        <v>onvoldoende gegevens voor suggestie</v>
      </c>
      <c r="C146" s="537" t="s">
        <v>1077</v>
      </c>
      <c r="D146" s="537" t="s">
        <v>1091</v>
      </c>
      <c r="E146" s="537" t="s">
        <v>1480</v>
      </c>
      <c r="F146" s="537" t="s">
        <v>1793</v>
      </c>
    </row>
    <row r="147" spans="1:6" s="538" customFormat="1" x14ac:dyDescent="0.25">
      <c r="A147" s="549" t="str">
        <f t="shared" si="6"/>
        <v>04-D-142</v>
      </c>
      <c r="B147" s="788" t="str">
        <f t="shared" ca="1" si="8"/>
        <v>geen suggestie mogelijk</v>
      </c>
      <c r="C147" s="538" t="s">
        <v>311</v>
      </c>
      <c r="D147" s="538" t="s">
        <v>1092</v>
      </c>
      <c r="E147" s="538" t="s">
        <v>1481</v>
      </c>
      <c r="F147" s="538" t="s">
        <v>1794</v>
      </c>
    </row>
    <row r="148" spans="1:6" s="537" customFormat="1" x14ac:dyDescent="0.25">
      <c r="A148" s="550" t="str">
        <f t="shared" si="6"/>
        <v>04-D-143</v>
      </c>
      <c r="B148" s="787" t="str">
        <f t="shared" ca="1" si="8"/>
        <v>suggestie is op basis van enkel de groepswedstrijden</v>
      </c>
      <c r="C148" s="537" t="s">
        <v>1083</v>
      </c>
      <c r="D148" s="537" t="s">
        <v>1093</v>
      </c>
      <c r="E148" s="537" t="s">
        <v>1482</v>
      </c>
      <c r="F148" s="537" t="s">
        <v>1795</v>
      </c>
    </row>
    <row r="149" spans="1:6" s="538" customFormat="1" x14ac:dyDescent="0.25">
      <c r="A149" s="549" t="str">
        <f t="shared" si="6"/>
        <v>04-D-144</v>
      </c>
      <c r="B149" s="788" t="str">
        <f t="shared" ca="1" si="8"/>
        <v>wedstrijden waarin de beslissing tijdens de verlenging valt zijn niet meegeteld</v>
      </c>
      <c r="C149" s="538" t="s">
        <v>1899</v>
      </c>
      <c r="D149" s="538" t="s">
        <v>1897</v>
      </c>
      <c r="E149" s="538" t="s">
        <v>1903</v>
      </c>
      <c r="F149" s="538" t="s">
        <v>1902</v>
      </c>
    </row>
    <row r="150" spans="1:6" s="537" customFormat="1" x14ac:dyDescent="0.25">
      <c r="A150" s="550" t="str">
        <f t="shared" si="6"/>
        <v>04-D-145</v>
      </c>
      <c r="B150" s="787" t="str">
        <f t="shared" ca="1" si="8"/>
        <v>doelpunten gescoord tijdens een eventuele verlenging zijn niet meegeteld</v>
      </c>
      <c r="C150" s="537" t="s">
        <v>1896</v>
      </c>
      <c r="D150" s="537" t="s">
        <v>1898</v>
      </c>
      <c r="E150" s="537" t="s">
        <v>1900</v>
      </c>
      <c r="F150" s="537" t="s">
        <v>1901</v>
      </c>
    </row>
    <row r="151" spans="1:6" s="538" customFormat="1" x14ac:dyDescent="0.25">
      <c r="A151" s="549" t="str">
        <f t="shared" si="6"/>
        <v>04-D-146</v>
      </c>
      <c r="B151" s="788" t="str">
        <f t="shared" ca="1" si="8"/>
        <v>doelpunt</v>
      </c>
      <c r="C151" s="538" t="s">
        <v>1078</v>
      </c>
      <c r="D151" s="538" t="s">
        <v>1085</v>
      </c>
      <c r="E151" s="538" t="s">
        <v>1483</v>
      </c>
      <c r="F151" s="538" t="s">
        <v>1796</v>
      </c>
    </row>
    <row r="152" spans="1:6" s="537" customFormat="1" x14ac:dyDescent="0.25">
      <c r="A152" s="550" t="str">
        <f t="shared" si="6"/>
        <v>04-D-147</v>
      </c>
      <c r="B152" s="787" t="str">
        <f t="shared" ca="1" si="8"/>
        <v>doelpunten</v>
      </c>
      <c r="C152" s="537" t="s">
        <v>1079</v>
      </c>
      <c r="D152" s="537" t="s">
        <v>1086</v>
      </c>
      <c r="E152" s="537" t="s">
        <v>1484</v>
      </c>
      <c r="F152" s="537" t="s">
        <v>1796</v>
      </c>
    </row>
    <row r="153" spans="1:6" s="538" customFormat="1" x14ac:dyDescent="0.25">
      <c r="A153" s="549" t="str">
        <f t="shared" si="6"/>
        <v>04-D-148</v>
      </c>
      <c r="B153" s="788" t="str">
        <f t="shared" ca="1" si="8"/>
        <v>geen enkele keer gelijkspel voorspeld</v>
      </c>
      <c r="C153" s="538" t="s">
        <v>1080</v>
      </c>
      <c r="D153" s="538" t="s">
        <v>1087</v>
      </c>
      <c r="E153" s="538" t="s">
        <v>1485</v>
      </c>
      <c r="F153" s="538" t="s">
        <v>1797</v>
      </c>
    </row>
    <row r="154" spans="1:6" s="537" customFormat="1" x14ac:dyDescent="0.25">
      <c r="A154" s="550" t="str">
        <f t="shared" si="6"/>
        <v>04-D-149</v>
      </c>
      <c r="B154" s="787" t="str">
        <f t="shared" ca="1" si="8"/>
        <v>keer gelijkspel voorspeld</v>
      </c>
      <c r="C154" s="537" t="s">
        <v>1081</v>
      </c>
      <c r="D154" s="537" t="s">
        <v>1088</v>
      </c>
      <c r="E154" s="537" t="s">
        <v>1486</v>
      </c>
      <c r="F154" s="537" t="s">
        <v>1798</v>
      </c>
    </row>
    <row r="155" spans="1:6" s="538" customFormat="1" x14ac:dyDescent="0.25">
      <c r="A155" s="549" t="str">
        <f t="shared" si="6"/>
        <v>04-D-150</v>
      </c>
      <c r="B155" s="788" t="str">
        <f t="shared" ca="1" si="8"/>
        <v>geen enkele keer winst / verlies voorspeld</v>
      </c>
      <c r="C155" s="538" t="s">
        <v>1084</v>
      </c>
      <c r="D155" s="538" t="s">
        <v>1089</v>
      </c>
      <c r="E155" s="538" t="s">
        <v>1487</v>
      </c>
      <c r="F155" s="538" t="s">
        <v>1799</v>
      </c>
    </row>
    <row r="156" spans="1:6" s="537" customFormat="1" x14ac:dyDescent="0.25">
      <c r="A156" s="550" t="str">
        <f t="shared" si="6"/>
        <v>04-D-151</v>
      </c>
      <c r="B156" s="787" t="str">
        <f t="shared" ca="1" si="8"/>
        <v>keer winst/verlies voorspeld</v>
      </c>
      <c r="C156" s="537" t="s">
        <v>1082</v>
      </c>
      <c r="D156" s="537" t="s">
        <v>1090</v>
      </c>
      <c r="E156" s="537" t="s">
        <v>1488</v>
      </c>
      <c r="F156" s="537" t="s">
        <v>1800</v>
      </c>
    </row>
    <row r="157" spans="1:6" s="538" customFormat="1" x14ac:dyDescent="0.25">
      <c r="A157" s="539" t="str">
        <f t="shared" si="6"/>
        <v>04-D-152</v>
      </c>
      <c r="B157" s="788"/>
    </row>
    <row r="158" spans="1:6" s="537" customFormat="1" x14ac:dyDescent="0.25">
      <c r="A158" s="542" t="str">
        <f t="shared" si="6"/>
        <v>04-D-153</v>
      </c>
      <c r="B158" s="787"/>
    </row>
    <row r="159" spans="1:6" s="538" customFormat="1" x14ac:dyDescent="0.25">
      <c r="A159" s="549" t="str">
        <f t="shared" si="6"/>
        <v>04-D-154</v>
      </c>
      <c r="B159" s="788" t="str">
        <f ca="1">TRIM(INDIRECT(CHAR(64+$C$2)&amp;ROW()))</f>
        <v>De Deelnamecode</v>
      </c>
      <c r="C159" s="538" t="s">
        <v>326</v>
      </c>
      <c r="D159" s="538" t="s">
        <v>1094</v>
      </c>
      <c r="E159" s="538" t="s">
        <v>1489</v>
      </c>
      <c r="F159" s="538" t="s">
        <v>1801</v>
      </c>
    </row>
    <row r="160" spans="1:6" s="537" customFormat="1" x14ac:dyDescent="0.25">
      <c r="A160" s="550" t="str">
        <f t="shared" si="6"/>
        <v>04-D-155</v>
      </c>
      <c r="B160" s="787" t="str">
        <f ca="1">TRIM(INDIRECT(CHAR(64+$C$2)&amp;ROW()))</f>
        <v>Controle Onderdelen</v>
      </c>
      <c r="C160" s="537" t="s">
        <v>327</v>
      </c>
      <c r="D160" s="537" t="s">
        <v>1150</v>
      </c>
      <c r="E160" s="537" t="s">
        <v>1490</v>
      </c>
      <c r="F160" s="537" t="s">
        <v>1802</v>
      </c>
    </row>
    <row r="161" spans="1:6" s="538" customFormat="1" x14ac:dyDescent="0.25">
      <c r="A161" s="539" t="str">
        <f t="shared" si="6"/>
        <v>04-D-156</v>
      </c>
      <c r="B161" s="788"/>
    </row>
    <row r="162" spans="1:6" s="537" customFormat="1" x14ac:dyDescent="0.25">
      <c r="A162" s="550" t="str">
        <f t="shared" si="6"/>
        <v>04-D-157</v>
      </c>
      <c r="B162" s="787" t="str">
        <f t="shared" ref="B162:B193" ca="1" si="9">TRIM(INDIRECT(CHAR(64+$C$2)&amp;ROW()))</f>
        <v>Gegevens Deelnemer</v>
      </c>
      <c r="C162" s="537" t="s">
        <v>1097</v>
      </c>
      <c r="D162" s="537" t="s">
        <v>1147</v>
      </c>
      <c r="E162" s="537" t="s">
        <v>1491</v>
      </c>
      <c r="F162" s="537" t="s">
        <v>1803</v>
      </c>
    </row>
    <row r="163" spans="1:6" s="538" customFormat="1" x14ac:dyDescent="0.25">
      <c r="A163" s="549" t="str">
        <f t="shared" si="6"/>
        <v>04-D-158</v>
      </c>
      <c r="B163" s="788" t="str">
        <f t="shared" ca="1" si="9"/>
        <v>Het generen van de naamcode is niet mogelijk in verband met het ontbreken van uw naam. Voer uw naam in</v>
      </c>
      <c r="C163" s="538" t="s">
        <v>501</v>
      </c>
      <c r="D163" s="538" t="s">
        <v>1098</v>
      </c>
      <c r="E163" s="538" t="s">
        <v>1492</v>
      </c>
      <c r="F163" s="538" t="s">
        <v>1804</v>
      </c>
    </row>
    <row r="164" spans="1:6" s="537" customFormat="1" x14ac:dyDescent="0.25">
      <c r="A164" s="550" t="str">
        <f t="shared" ref="A164:A233" si="10">LEFT(A163,5)&amp;RIGHT("000"&amp;RIGHT(A163,3)*1+1,3)</f>
        <v>04-D-159</v>
      </c>
      <c r="B164" s="787" t="str">
        <f t="shared" ca="1" si="9"/>
        <v>bovenaan het werkblad "Groepswedstrijden".</v>
      </c>
      <c r="C164" s="537" t="s">
        <v>500</v>
      </c>
      <c r="D164" s="537" t="s">
        <v>1099</v>
      </c>
      <c r="E164" s="537" t="s">
        <v>1493</v>
      </c>
      <c r="F164" s="537" t="s">
        <v>1805</v>
      </c>
    </row>
    <row r="165" spans="1:6" s="538" customFormat="1" x14ac:dyDescent="0.25">
      <c r="A165" s="549" t="str">
        <f t="shared" si="10"/>
        <v>04-D-160</v>
      </c>
      <c r="B165" s="788" t="str">
        <f t="shared" ca="1" si="9"/>
        <v>Het generen van de naamcode is niet mogelijk in verband met het ontbreken van uw e-mailadres. Voer uw</v>
      </c>
      <c r="C165" s="538" t="s">
        <v>503</v>
      </c>
      <c r="D165" s="538" t="s">
        <v>1100</v>
      </c>
      <c r="E165" s="538" t="s">
        <v>1494</v>
      </c>
      <c r="F165" s="538" t="s">
        <v>1806</v>
      </c>
    </row>
    <row r="166" spans="1:6" s="537" customFormat="1" x14ac:dyDescent="0.25">
      <c r="A166" s="550" t="str">
        <f t="shared" si="10"/>
        <v>04-D-161</v>
      </c>
      <c r="B166" s="787" t="str">
        <f t="shared" ca="1" si="9"/>
        <v>e-mailadres in bovenaan het werkblad "Groepswedstrijden".</v>
      </c>
      <c r="C166" s="537" t="s">
        <v>502</v>
      </c>
      <c r="D166" s="537" t="s">
        <v>1101</v>
      </c>
      <c r="E166" s="537" t="s">
        <v>1495</v>
      </c>
      <c r="F166" s="537" t="s">
        <v>1807</v>
      </c>
    </row>
    <row r="167" spans="1:6" s="538" customFormat="1" x14ac:dyDescent="0.25">
      <c r="A167" s="549" t="str">
        <f t="shared" si="10"/>
        <v>04-D-162</v>
      </c>
      <c r="B167" s="788" t="str">
        <f t="shared" ca="1" si="9"/>
        <v>Het generen van de naamcode incluslief e-mailadres is niet mogelijk in verband met het ontbreken van</v>
      </c>
      <c r="C167" s="538" t="s">
        <v>510</v>
      </c>
      <c r="D167" s="538" t="s">
        <v>1102</v>
      </c>
      <c r="E167" s="538" t="s">
        <v>1496</v>
      </c>
      <c r="F167" s="538" t="s">
        <v>1808</v>
      </c>
    </row>
    <row r="168" spans="1:6" s="537" customFormat="1" x14ac:dyDescent="0.25">
      <c r="A168" s="550" t="str">
        <f t="shared" si="10"/>
        <v>04-D-163</v>
      </c>
      <c r="B168" s="787" t="str">
        <f t="shared" ca="1" si="9"/>
        <v>gegevens. Voer uw naam en e-mailadres in bovenaan het werkblad "Groepswedstrijden".</v>
      </c>
      <c r="C168" s="537" t="s">
        <v>509</v>
      </c>
      <c r="D168" s="537" t="s">
        <v>1103</v>
      </c>
      <c r="E168" s="537" t="s">
        <v>1497</v>
      </c>
      <c r="F168" s="537" t="s">
        <v>1809</v>
      </c>
    </row>
    <row r="169" spans="1:6" s="538" customFormat="1" x14ac:dyDescent="0.25">
      <c r="A169" s="549" t="str">
        <f t="shared" si="10"/>
        <v>04-D-164</v>
      </c>
      <c r="B169" s="788" t="str">
        <f t="shared" ca="1" si="9"/>
        <v>Bij het genereren van de naamcode is er een fout geconstateerd. Controleer uw naam bovenaan het</v>
      </c>
      <c r="C169" s="538" t="s">
        <v>506</v>
      </c>
      <c r="D169" s="538" t="s">
        <v>1106</v>
      </c>
      <c r="E169" s="538" t="s">
        <v>1498</v>
      </c>
      <c r="F169" s="538" t="s">
        <v>1810</v>
      </c>
    </row>
    <row r="170" spans="1:6" s="537" customFormat="1" x14ac:dyDescent="0.25">
      <c r="A170" s="550" t="str">
        <f t="shared" si="10"/>
        <v>04-D-165</v>
      </c>
      <c r="B170" s="787" t="str">
        <f t="shared" ca="1" si="9"/>
        <v>werkblad "Groepswedstrijden".</v>
      </c>
      <c r="C170" s="537" t="s">
        <v>504</v>
      </c>
      <c r="D170" s="537" t="s">
        <v>1107</v>
      </c>
      <c r="E170" s="537" t="s">
        <v>1499</v>
      </c>
      <c r="F170" s="537" t="s">
        <v>1811</v>
      </c>
    </row>
    <row r="171" spans="1:6" s="538" customFormat="1" x14ac:dyDescent="0.25">
      <c r="A171" s="549" t="str">
        <f t="shared" si="10"/>
        <v>04-D-166</v>
      </c>
      <c r="B171" s="788" t="str">
        <f t="shared" ca="1" si="9"/>
        <v>Bij het genereren van de naamcode is er een fout geconstateerd. Controleer uw e-mailadres bovenaan het</v>
      </c>
      <c r="C171" s="538" t="s">
        <v>505</v>
      </c>
      <c r="D171" s="538" t="s">
        <v>1108</v>
      </c>
      <c r="E171" s="538" t="s">
        <v>1500</v>
      </c>
      <c r="F171" s="538" t="s">
        <v>1812</v>
      </c>
    </row>
    <row r="172" spans="1:6" s="537" customFormat="1" x14ac:dyDescent="0.25">
      <c r="A172" s="550" t="str">
        <f t="shared" si="10"/>
        <v>04-D-167</v>
      </c>
      <c r="B172" s="787" t="str">
        <f t="shared" ca="1" si="9"/>
        <v>werkblad "Groepswedstrijden".</v>
      </c>
      <c r="C172" s="537" t="s">
        <v>504</v>
      </c>
      <c r="D172" s="537" t="s">
        <v>1099</v>
      </c>
      <c r="E172" s="537" t="s">
        <v>1493</v>
      </c>
      <c r="F172" s="537" t="s">
        <v>1811</v>
      </c>
    </row>
    <row r="173" spans="1:6" s="538" customFormat="1" x14ac:dyDescent="0.25">
      <c r="A173" s="549" t="str">
        <f t="shared" si="10"/>
        <v>04-D-168</v>
      </c>
      <c r="B173" s="788" t="str">
        <f t="shared" ca="1" si="9"/>
        <v>Bij het genereren van de naamcode met e-mailadres is er een fout geconstateerd. Controleer uw naam en</v>
      </c>
      <c r="C173" s="538" t="s">
        <v>508</v>
      </c>
      <c r="D173" s="538" t="s">
        <v>1109</v>
      </c>
      <c r="E173" s="538" t="s">
        <v>1501</v>
      </c>
      <c r="F173" s="538" t="s">
        <v>1813</v>
      </c>
    </row>
    <row r="174" spans="1:6" s="537" customFormat="1" x14ac:dyDescent="0.25">
      <c r="A174" s="550" t="str">
        <f t="shared" si="10"/>
        <v>04-D-169</v>
      </c>
      <c r="B174" s="787" t="str">
        <f t="shared" ca="1" si="9"/>
        <v>e-mailadres bovenaan het werkblad "Groepswedstrijden".</v>
      </c>
      <c r="C174" s="537" t="s">
        <v>507</v>
      </c>
      <c r="D174" s="537" t="s">
        <v>1110</v>
      </c>
      <c r="E174" s="537" t="s">
        <v>1502</v>
      </c>
      <c r="F174" s="537" t="s">
        <v>1807</v>
      </c>
    </row>
    <row r="175" spans="1:6" s="538" customFormat="1" x14ac:dyDescent="0.25">
      <c r="A175" s="549" t="str">
        <f t="shared" si="10"/>
        <v>04-D-170</v>
      </c>
      <c r="B175" s="788" t="str">
        <f t="shared" ca="1" si="9"/>
        <v>De naamcode is zonder foutmeldingen gegenereerd.</v>
      </c>
      <c r="C175" s="538" t="s">
        <v>331</v>
      </c>
      <c r="D175" s="538" t="s">
        <v>1105</v>
      </c>
      <c r="E175" s="538" t="s">
        <v>1503</v>
      </c>
      <c r="F175" s="538" t="s">
        <v>1814</v>
      </c>
    </row>
    <row r="176" spans="1:6" s="537" customFormat="1" x14ac:dyDescent="0.25">
      <c r="A176" s="550" t="str">
        <f t="shared" si="10"/>
        <v>04-D-171</v>
      </c>
      <c r="B176" s="787" t="str">
        <f t="shared" ca="1" si="9"/>
        <v>De naamcode inclusief e-mailadres is zonder foutmeldingen gegenereerd.</v>
      </c>
      <c r="C176" s="537" t="s">
        <v>490</v>
      </c>
      <c r="D176" s="537" t="s">
        <v>1104</v>
      </c>
      <c r="E176" s="537" t="s">
        <v>1504</v>
      </c>
      <c r="F176" s="537" t="s">
        <v>1815</v>
      </c>
    </row>
    <row r="177" spans="1:6" s="538" customFormat="1" x14ac:dyDescent="0.25">
      <c r="A177" s="539" t="str">
        <f t="shared" si="10"/>
        <v>04-D-172</v>
      </c>
      <c r="B177" s="788" t="str">
        <f t="shared" ca="1" si="9"/>
        <v/>
      </c>
    </row>
    <row r="178" spans="1:6" s="537" customFormat="1" x14ac:dyDescent="0.25">
      <c r="A178" s="550" t="str">
        <f t="shared" si="10"/>
        <v>04-D-173</v>
      </c>
      <c r="B178" s="787" t="str">
        <f t="shared" ca="1" si="9"/>
        <v>Voorspellingen Groepswedstrijden</v>
      </c>
      <c r="C178" s="537" t="s">
        <v>1111</v>
      </c>
      <c r="D178" s="537" t="s">
        <v>1112</v>
      </c>
      <c r="E178" s="537" t="s">
        <v>1505</v>
      </c>
      <c r="F178" s="537" t="s">
        <v>1816</v>
      </c>
    </row>
    <row r="179" spans="1:6" s="538" customFormat="1" x14ac:dyDescent="0.25">
      <c r="A179" s="549" t="str">
        <f t="shared" si="10"/>
        <v>04-D-174</v>
      </c>
      <c r="B179" s="788" t="str">
        <f t="shared" ca="1" si="9"/>
        <v>Het genereren van de deelnamecode voor de groepswedstrijden is niet mogelijk in verband met het ontbreken</v>
      </c>
      <c r="C179" s="538" t="s">
        <v>335</v>
      </c>
      <c r="D179" s="538" t="s">
        <v>1114</v>
      </c>
      <c r="E179" s="538" t="s">
        <v>1506</v>
      </c>
      <c r="F179" s="538" t="s">
        <v>1817</v>
      </c>
    </row>
    <row r="180" spans="1:6" s="537" customFormat="1" x14ac:dyDescent="0.25">
      <c r="A180" s="550" t="str">
        <f t="shared" si="10"/>
        <v>04-D-175</v>
      </c>
      <c r="B180" s="787" t="str">
        <f t="shared" ca="1" si="9"/>
        <v>van gegevens. Controleer of alle velden zijn ingevuld op het werkblad "Groepswedstrijden".</v>
      </c>
      <c r="C180" s="537" t="s">
        <v>491</v>
      </c>
      <c r="D180" s="537" t="s">
        <v>1115</v>
      </c>
      <c r="E180" s="537" t="s">
        <v>1507</v>
      </c>
      <c r="F180" s="537" t="s">
        <v>1818</v>
      </c>
    </row>
    <row r="181" spans="1:6" s="538" customFormat="1" x14ac:dyDescent="0.25">
      <c r="A181" s="549" t="str">
        <f t="shared" si="10"/>
        <v>04-D-176</v>
      </c>
      <c r="B181" s="788" t="str">
        <f t="shared" ca="1" si="9"/>
        <v>Bij het genereren van de deelnamecode voor de groepswedstrijden is er een fout geconstateerd. Controleer uw</v>
      </c>
      <c r="C181" s="538" t="s">
        <v>337</v>
      </c>
      <c r="D181" s="538" t="s">
        <v>1116</v>
      </c>
      <c r="E181" s="538" t="s">
        <v>1508</v>
      </c>
      <c r="F181" s="538" t="s">
        <v>1819</v>
      </c>
    </row>
    <row r="182" spans="1:6" s="537" customFormat="1" x14ac:dyDescent="0.25">
      <c r="A182" s="550" t="str">
        <f t="shared" si="10"/>
        <v>04-D-177</v>
      </c>
      <c r="B182" s="787" t="str">
        <f t="shared" ca="1" si="9"/>
        <v>invoer op het werkblad "Groepswedstrijden".</v>
      </c>
      <c r="C182" s="537" t="s">
        <v>492</v>
      </c>
      <c r="D182" s="537" t="s">
        <v>1117</v>
      </c>
      <c r="E182" s="537" t="s">
        <v>1509</v>
      </c>
      <c r="F182" s="537" t="s">
        <v>1820</v>
      </c>
    </row>
    <row r="183" spans="1:6" s="538" customFormat="1" x14ac:dyDescent="0.25">
      <c r="A183" s="549" t="str">
        <f t="shared" si="10"/>
        <v>04-D-178</v>
      </c>
      <c r="B183" s="788" t="str">
        <f t="shared" ca="1" si="9"/>
        <v>Bij het genereren van de deelnamecode voor de groepswedstrijden zijn er fouten geconstateerd. Controleer uw</v>
      </c>
      <c r="C183" s="538" t="s">
        <v>339</v>
      </c>
      <c r="D183" s="538" t="s">
        <v>1118</v>
      </c>
      <c r="E183" s="538" t="s">
        <v>1510</v>
      </c>
      <c r="F183" s="538" t="s">
        <v>1821</v>
      </c>
    </row>
    <row r="184" spans="1:6" s="537" customFormat="1" x14ac:dyDescent="0.25">
      <c r="A184" s="550" t="str">
        <f t="shared" si="10"/>
        <v>04-D-179</v>
      </c>
      <c r="B184" s="787" t="str">
        <f t="shared" ca="1" si="9"/>
        <v>invoer op het werkblad "Groepswedstrijden".</v>
      </c>
      <c r="C184" s="537" t="s">
        <v>492</v>
      </c>
      <c r="D184" s="537" t="s">
        <v>1119</v>
      </c>
      <c r="E184" s="537" t="s">
        <v>1511</v>
      </c>
      <c r="F184" s="537" t="s">
        <v>1822</v>
      </c>
    </row>
    <row r="185" spans="1:6" s="538" customFormat="1" x14ac:dyDescent="0.25">
      <c r="A185" s="549" t="str">
        <f t="shared" si="10"/>
        <v>04-D-180</v>
      </c>
      <c r="B185" s="788" t="str">
        <f t="shared" ca="1" si="9"/>
        <v>De deelnamecode voor de groepswedstrijden is zonder foutmeldingen gegenereerd.</v>
      </c>
      <c r="C185" s="538" t="s">
        <v>341</v>
      </c>
      <c r="D185" s="538" t="s">
        <v>1113</v>
      </c>
      <c r="E185" s="538" t="s">
        <v>1512</v>
      </c>
      <c r="F185" s="538" t="s">
        <v>1823</v>
      </c>
    </row>
    <row r="186" spans="1:6" s="537" customFormat="1" x14ac:dyDescent="0.25">
      <c r="A186" s="542" t="str">
        <f t="shared" si="10"/>
        <v>04-D-181</v>
      </c>
      <c r="B186" s="787" t="str">
        <f t="shared" ca="1" si="9"/>
        <v/>
      </c>
    </row>
    <row r="187" spans="1:6" s="538" customFormat="1" x14ac:dyDescent="0.25">
      <c r="A187" s="549" t="str">
        <f t="shared" si="10"/>
        <v>04-D-182</v>
      </c>
      <c r="B187" s="788" t="str">
        <f t="shared" ca="1" si="9"/>
        <v>Voorspellingen Eindstand in de Groep</v>
      </c>
      <c r="C187" s="538" t="s">
        <v>1125</v>
      </c>
      <c r="D187" s="538" t="s">
        <v>1146</v>
      </c>
      <c r="E187" s="538" t="s">
        <v>1513</v>
      </c>
      <c r="F187" s="538" t="s">
        <v>1824</v>
      </c>
    </row>
    <row r="188" spans="1:6" s="537" customFormat="1" x14ac:dyDescent="0.25">
      <c r="A188" s="550" t="str">
        <f t="shared" si="10"/>
        <v>04-D-183</v>
      </c>
      <c r="B188" s="787" t="str">
        <f t="shared" ca="1" si="9"/>
        <v>Het genereren van de deelnamecode voor de eindstand in de groep is niet mogelijk in verband met het</v>
      </c>
      <c r="C188" s="537" t="s">
        <v>391</v>
      </c>
      <c r="D188" s="537" t="s">
        <v>1132</v>
      </c>
      <c r="E188" s="537" t="s">
        <v>1514</v>
      </c>
      <c r="F188" s="537" t="s">
        <v>1825</v>
      </c>
    </row>
    <row r="189" spans="1:6" s="538" customFormat="1" x14ac:dyDescent="0.25">
      <c r="A189" s="549" t="str">
        <f t="shared" si="10"/>
        <v>04-D-184</v>
      </c>
      <c r="B189" s="788" t="str">
        <f t="shared" ca="1" si="9"/>
        <v>ontbreken van gegevens. Controleer of alle velden zijn ingevuld op het werkblad "Eindstand Groep".</v>
      </c>
      <c r="C189" s="538" t="s">
        <v>493</v>
      </c>
      <c r="D189" s="538" t="s">
        <v>1133</v>
      </c>
      <c r="E189" s="538" t="s">
        <v>1515</v>
      </c>
      <c r="F189" s="538" t="s">
        <v>1826</v>
      </c>
    </row>
    <row r="190" spans="1:6" s="537" customFormat="1" x14ac:dyDescent="0.25">
      <c r="A190" s="550" t="str">
        <f t="shared" si="10"/>
        <v>04-D-185</v>
      </c>
      <c r="B190" s="787" t="str">
        <f t="shared" ca="1" si="9"/>
        <v>Bij het genereren van de deelnamecode voor de eindstand in de groep is er een fout geconstateerd.</v>
      </c>
      <c r="C190" s="537" t="s">
        <v>392</v>
      </c>
      <c r="D190" s="537" t="s">
        <v>1134</v>
      </c>
      <c r="E190" s="537" t="s">
        <v>1516</v>
      </c>
      <c r="F190" s="537" t="s">
        <v>1827</v>
      </c>
    </row>
    <row r="191" spans="1:6" s="538" customFormat="1" x14ac:dyDescent="0.25">
      <c r="A191" s="549" t="str">
        <f t="shared" si="10"/>
        <v>04-D-186</v>
      </c>
      <c r="B191" s="788" t="str">
        <f t="shared" ca="1" si="9"/>
        <v>Controleer uw invoer op het werkblad "Eindstand Groep".</v>
      </c>
      <c r="C191" s="538" t="s">
        <v>494</v>
      </c>
      <c r="D191" s="538" t="s">
        <v>1137</v>
      </c>
      <c r="E191" s="538" t="s">
        <v>1517</v>
      </c>
      <c r="F191" s="538" t="s">
        <v>1828</v>
      </c>
    </row>
    <row r="192" spans="1:6" s="537" customFormat="1" x14ac:dyDescent="0.25">
      <c r="A192" s="550" t="str">
        <f t="shared" si="10"/>
        <v>04-D-187</v>
      </c>
      <c r="B192" s="787" t="str">
        <f t="shared" ca="1" si="9"/>
        <v>Bij het genereren van de deelnamecode voor de eindstand in de groep zijn er fouten geconstateerd.</v>
      </c>
      <c r="C192" s="537" t="s">
        <v>393</v>
      </c>
      <c r="D192" s="537" t="s">
        <v>1135</v>
      </c>
      <c r="E192" s="537" t="s">
        <v>1518</v>
      </c>
      <c r="F192" s="537" t="s">
        <v>1829</v>
      </c>
    </row>
    <row r="193" spans="1:6" s="538" customFormat="1" x14ac:dyDescent="0.25">
      <c r="A193" s="549" t="str">
        <f t="shared" si="10"/>
        <v>04-D-188</v>
      </c>
      <c r="B193" s="788" t="str">
        <f t="shared" ca="1" si="9"/>
        <v>Controleer uw invoer op het werkblad "Eindstand Groep".</v>
      </c>
      <c r="C193" s="538" t="s">
        <v>494</v>
      </c>
      <c r="D193" s="538" t="s">
        <v>1136</v>
      </c>
      <c r="E193" s="538" t="s">
        <v>1519</v>
      </c>
      <c r="F193" s="538" t="s">
        <v>1830</v>
      </c>
    </row>
    <row r="194" spans="1:6" s="537" customFormat="1" x14ac:dyDescent="0.25">
      <c r="A194" s="550" t="str">
        <f t="shared" si="10"/>
        <v>04-D-189</v>
      </c>
      <c r="B194" s="787" t="str">
        <f t="shared" ref="B194:B233" ca="1" si="11">TRIM(INDIRECT(CHAR(64+$C$2)&amp;ROW()))</f>
        <v>De deelnamecode voor de eindstand in de groep is zonder foutmeldingen gegenereerd.</v>
      </c>
      <c r="C194" s="537" t="s">
        <v>394</v>
      </c>
      <c r="D194" s="537" t="s">
        <v>1121</v>
      </c>
      <c r="E194" s="537" t="s">
        <v>1520</v>
      </c>
      <c r="F194" s="537" t="s">
        <v>1831</v>
      </c>
    </row>
    <row r="195" spans="1:6" s="538" customFormat="1" x14ac:dyDescent="0.25">
      <c r="A195" s="539" t="str">
        <f t="shared" si="10"/>
        <v>04-D-190</v>
      </c>
      <c r="B195" s="788" t="str">
        <f t="shared" ca="1" si="11"/>
        <v/>
      </c>
    </row>
    <row r="196" spans="1:6" s="537" customFormat="1" x14ac:dyDescent="0.25">
      <c r="A196" s="550" t="str">
        <f t="shared" si="10"/>
        <v>04-D-191</v>
      </c>
      <c r="B196" s="787" t="str">
        <f t="shared" ca="1" si="11"/>
        <v>Voorspellingen Finalewedstrijden</v>
      </c>
      <c r="C196" s="537" t="s">
        <v>1124</v>
      </c>
      <c r="D196" s="537" t="s">
        <v>1123</v>
      </c>
      <c r="E196" s="537" t="s">
        <v>1521</v>
      </c>
      <c r="F196" s="537" t="s">
        <v>1832</v>
      </c>
    </row>
    <row r="197" spans="1:6" s="538" customFormat="1" x14ac:dyDescent="0.25">
      <c r="A197" s="549" t="str">
        <f t="shared" si="10"/>
        <v>04-D-192</v>
      </c>
      <c r="B197" s="788" t="str">
        <f t="shared" ca="1" si="11"/>
        <v>Het genereren van de deelnamecode voor de finalewedstrijden is niet mogelijk in verband met het ontbreken</v>
      </c>
      <c r="C197" s="538" t="s">
        <v>348</v>
      </c>
      <c r="D197" s="538" t="s">
        <v>1126</v>
      </c>
      <c r="E197" s="538" t="s">
        <v>1522</v>
      </c>
      <c r="F197" s="538" t="s">
        <v>1833</v>
      </c>
    </row>
    <row r="198" spans="1:6" s="537" customFormat="1" x14ac:dyDescent="0.25">
      <c r="A198" s="550" t="str">
        <f t="shared" si="10"/>
        <v>04-D-193</v>
      </c>
      <c r="B198" s="787" t="str">
        <f t="shared" ca="1" si="11"/>
        <v>van gegevens. Controleer of alle velden zijn ingevuld op het werkblad "Finalewedstrijden".</v>
      </c>
      <c r="C198" s="537" t="s">
        <v>495</v>
      </c>
      <c r="D198" s="537" t="s">
        <v>1127</v>
      </c>
      <c r="E198" s="537" t="s">
        <v>1523</v>
      </c>
      <c r="F198" s="537" t="s">
        <v>1834</v>
      </c>
    </row>
    <row r="199" spans="1:6" s="538" customFormat="1" x14ac:dyDescent="0.25">
      <c r="A199" s="549" t="str">
        <f t="shared" si="10"/>
        <v>04-D-194</v>
      </c>
      <c r="B199" s="788" t="str">
        <f t="shared" ca="1" si="11"/>
        <v>Bij het genereren van de deelnamecode voor de finalewedstrijden is er een fout geconstateerd. Controleer uw</v>
      </c>
      <c r="C199" s="538" t="s">
        <v>349</v>
      </c>
      <c r="D199" s="538" t="s">
        <v>1128</v>
      </c>
      <c r="E199" s="538" t="s">
        <v>1524</v>
      </c>
      <c r="F199" s="538" t="s">
        <v>1835</v>
      </c>
    </row>
    <row r="200" spans="1:6" s="537" customFormat="1" x14ac:dyDescent="0.25">
      <c r="A200" s="550" t="str">
        <f t="shared" si="10"/>
        <v>04-D-195</v>
      </c>
      <c r="B200" s="787" t="str">
        <f t="shared" ca="1" si="11"/>
        <v>invoer op het werkblad "Finalewedstrijden".</v>
      </c>
      <c r="C200" s="537" t="s">
        <v>496</v>
      </c>
      <c r="D200" s="537" t="s">
        <v>1129</v>
      </c>
      <c r="E200" s="537" t="s">
        <v>1525</v>
      </c>
      <c r="F200" s="537" t="s">
        <v>1836</v>
      </c>
    </row>
    <row r="201" spans="1:6" s="538" customFormat="1" x14ac:dyDescent="0.25">
      <c r="A201" s="549" t="str">
        <f t="shared" si="10"/>
        <v>04-D-196</v>
      </c>
      <c r="B201" s="788" t="str">
        <f t="shared" ca="1" si="11"/>
        <v>Bij het genereren van de deelnamecode voor de finalewedstrijden zijn er fouten geconstateerd. Controleer uw</v>
      </c>
      <c r="C201" s="538" t="s">
        <v>351</v>
      </c>
      <c r="D201" s="538" t="s">
        <v>1130</v>
      </c>
      <c r="E201" s="538" t="s">
        <v>1526</v>
      </c>
      <c r="F201" s="538" t="s">
        <v>1837</v>
      </c>
    </row>
    <row r="202" spans="1:6" s="537" customFormat="1" x14ac:dyDescent="0.25">
      <c r="A202" s="550" t="str">
        <f t="shared" si="10"/>
        <v>04-D-197</v>
      </c>
      <c r="B202" s="787" t="str">
        <f t="shared" ca="1" si="11"/>
        <v>invoer op het werkblad "Finalewedstrijden".</v>
      </c>
      <c r="C202" s="537" t="s">
        <v>496</v>
      </c>
      <c r="D202" s="537" t="s">
        <v>1131</v>
      </c>
      <c r="E202" s="537" t="s">
        <v>1527</v>
      </c>
      <c r="F202" s="537" t="s">
        <v>1836</v>
      </c>
    </row>
    <row r="203" spans="1:6" s="538" customFormat="1" x14ac:dyDescent="0.25">
      <c r="A203" s="549" t="str">
        <f t="shared" si="10"/>
        <v>04-D-198</v>
      </c>
      <c r="B203" s="788" t="str">
        <f t="shared" ca="1" si="11"/>
        <v>De deelnamecode voor de finalewedstrijden is zonder foutmeldingen gegenereerd.</v>
      </c>
      <c r="C203" s="538" t="s">
        <v>353</v>
      </c>
      <c r="D203" s="538" t="s">
        <v>1120</v>
      </c>
      <c r="E203" s="538" t="s">
        <v>1528</v>
      </c>
      <c r="F203" s="538" t="s">
        <v>1838</v>
      </c>
    </row>
    <row r="204" spans="1:6" s="537" customFormat="1" x14ac:dyDescent="0.25">
      <c r="A204" s="542" t="str">
        <f t="shared" si="10"/>
        <v>04-D-199</v>
      </c>
      <c r="B204" s="787" t="str">
        <f t="shared" ca="1" si="11"/>
        <v/>
      </c>
    </row>
    <row r="205" spans="1:6" s="538" customFormat="1" x14ac:dyDescent="0.25">
      <c r="A205" s="549" t="str">
        <f t="shared" si="10"/>
        <v>04-D-200</v>
      </c>
      <c r="B205" s="788" t="str">
        <f t="shared" ca="1" si="11"/>
        <v>Voorspelling Winnaar EURO 2024</v>
      </c>
      <c r="C205" s="538" t="s">
        <v>2355</v>
      </c>
      <c r="D205" s="538" t="s">
        <v>2356</v>
      </c>
      <c r="E205" s="538" t="s">
        <v>2357</v>
      </c>
      <c r="F205" s="538" t="s">
        <v>2358</v>
      </c>
    </row>
    <row r="206" spans="1:6" s="537" customFormat="1" x14ac:dyDescent="0.25">
      <c r="A206" s="550" t="str">
        <f t="shared" si="10"/>
        <v>04-D-201</v>
      </c>
      <c r="B206" s="787" t="str">
        <f t="shared" ca="1" si="11"/>
        <v>Het genereren van de deelnamecode voor de winnaar van het EK is niet mogelijk in verband met het ontbreken</v>
      </c>
      <c r="C206" s="537" t="s">
        <v>2359</v>
      </c>
      <c r="D206" s="537" t="s">
        <v>2360</v>
      </c>
      <c r="E206" s="537" t="s">
        <v>2361</v>
      </c>
      <c r="F206" s="537" t="s">
        <v>2362</v>
      </c>
    </row>
    <row r="207" spans="1:6" s="538" customFormat="1" x14ac:dyDescent="0.25">
      <c r="A207" s="549" t="str">
        <f t="shared" si="10"/>
        <v>04-D-202</v>
      </c>
      <c r="B207" s="788" t="str">
        <f t="shared" ca="1" si="11"/>
        <v>van gegevens. Voorspel de winnaar van het EK op het werkblad "Finalewedstrijden".</v>
      </c>
      <c r="C207" s="538" t="s">
        <v>2401</v>
      </c>
      <c r="D207" s="538" t="s">
        <v>2402</v>
      </c>
      <c r="E207" s="538" t="s">
        <v>2403</v>
      </c>
      <c r="F207" s="538" t="s">
        <v>2363</v>
      </c>
    </row>
    <row r="208" spans="1:6" s="537" customFormat="1" x14ac:dyDescent="0.25">
      <c r="A208" s="550" t="str">
        <f t="shared" si="10"/>
        <v>04-D-203</v>
      </c>
      <c r="B208" s="787" t="str">
        <f t="shared" ca="1" si="11"/>
        <v>Bij het genereren van de deelnamecode voor de winnaar van het EK is er een fout geconstateerd. Controleer</v>
      </c>
      <c r="C208" s="537" t="s">
        <v>2364</v>
      </c>
      <c r="D208" s="537" t="s">
        <v>2365</v>
      </c>
      <c r="E208" s="537" t="s">
        <v>2366</v>
      </c>
      <c r="F208" s="537" t="s">
        <v>2367</v>
      </c>
    </row>
    <row r="209" spans="1:6" s="538" customFormat="1" x14ac:dyDescent="0.25">
      <c r="A209" s="549" t="str">
        <f t="shared" si="10"/>
        <v>04-D-204</v>
      </c>
      <c r="B209" s="788" t="str">
        <f t="shared" ca="1" si="11"/>
        <v>uw invoer op het werkblad "Finalewedstrijden".</v>
      </c>
      <c r="C209" s="538" t="s">
        <v>497</v>
      </c>
      <c r="D209" s="538" t="s">
        <v>2169</v>
      </c>
      <c r="E209" s="538" t="s">
        <v>2368</v>
      </c>
      <c r="F209" s="538" t="s">
        <v>1839</v>
      </c>
    </row>
    <row r="210" spans="1:6" s="537" customFormat="1" x14ac:dyDescent="0.25">
      <c r="A210" s="550" t="str">
        <f t="shared" si="10"/>
        <v>04-D-205</v>
      </c>
      <c r="B210" s="787" t="str">
        <f t="shared" ca="1" si="11"/>
        <v>De deelnamecode voor de winnaar van het EK is zonder foutmeldingen gegenereerd.</v>
      </c>
      <c r="C210" s="537" t="s">
        <v>2369</v>
      </c>
      <c r="D210" s="537" t="s">
        <v>2370</v>
      </c>
      <c r="E210" s="537" t="s">
        <v>2371</v>
      </c>
      <c r="F210" s="537" t="s">
        <v>2372</v>
      </c>
    </row>
    <row r="211" spans="1:6" s="538" customFormat="1" x14ac:dyDescent="0.25">
      <c r="A211" s="539" t="str">
        <f t="shared" si="10"/>
        <v>04-D-206</v>
      </c>
      <c r="B211" s="788" t="str">
        <f t="shared" ca="1" si="11"/>
        <v/>
      </c>
    </row>
    <row r="212" spans="1:6" s="537" customFormat="1" x14ac:dyDescent="0.25">
      <c r="A212" s="550" t="str">
        <f t="shared" si="10"/>
        <v>04-D-207</v>
      </c>
      <c r="B212" s="787" t="str">
        <f t="shared" ca="1" si="11"/>
        <v>Bonusvragen</v>
      </c>
      <c r="C212" s="537" t="s">
        <v>99</v>
      </c>
      <c r="D212" s="537" t="s">
        <v>1138</v>
      </c>
      <c r="E212" s="537" t="s">
        <v>1227</v>
      </c>
      <c r="F212" s="537" t="s">
        <v>1708</v>
      </c>
    </row>
    <row r="213" spans="1:6" s="538" customFormat="1" x14ac:dyDescent="0.25">
      <c r="A213" s="549" t="str">
        <f t="shared" si="10"/>
        <v>04-D-208</v>
      </c>
      <c r="B213" s="788" t="str">
        <f t="shared" ca="1" si="11"/>
        <v>Het genereren van de deelnamecode voor de bonusvragen is niet mogelijk in verband met het ontbreken</v>
      </c>
      <c r="C213" s="538" t="s">
        <v>356</v>
      </c>
      <c r="D213" s="538" t="s">
        <v>1139</v>
      </c>
      <c r="E213" s="538" t="s">
        <v>1529</v>
      </c>
      <c r="F213" s="538" t="s">
        <v>1840</v>
      </c>
    </row>
    <row r="214" spans="1:6" s="537" customFormat="1" x14ac:dyDescent="0.25">
      <c r="A214" s="550" t="str">
        <f t="shared" si="10"/>
        <v>04-D-209</v>
      </c>
      <c r="B214" s="787" t="str">
        <f t="shared" ca="1" si="11"/>
        <v>van gegevens. Controleer of alle velden zijn ingevuld op het werkblad "Bonusvragen".</v>
      </c>
      <c r="C214" s="537" t="s">
        <v>498</v>
      </c>
      <c r="D214" s="537" t="s">
        <v>1140</v>
      </c>
      <c r="E214" s="537" t="s">
        <v>1530</v>
      </c>
      <c r="F214" s="537" t="s">
        <v>1841</v>
      </c>
    </row>
    <row r="215" spans="1:6" s="538" customFormat="1" x14ac:dyDescent="0.25">
      <c r="A215" s="549" t="str">
        <f t="shared" si="10"/>
        <v>04-D-210</v>
      </c>
      <c r="B215" s="788" t="str">
        <f t="shared" ca="1" si="11"/>
        <v>Bij het genereren van de deelnamecode voor de bonusvragen is er een fout geconstateerd. Controleer uw</v>
      </c>
      <c r="C215" s="538" t="s">
        <v>358</v>
      </c>
      <c r="D215" s="538" t="s">
        <v>1141</v>
      </c>
      <c r="E215" s="538" t="s">
        <v>1531</v>
      </c>
      <c r="F215" s="538" t="s">
        <v>1842</v>
      </c>
    </row>
    <row r="216" spans="1:6" s="537" customFormat="1" x14ac:dyDescent="0.25">
      <c r="A216" s="550" t="str">
        <f t="shared" si="10"/>
        <v>04-D-211</v>
      </c>
      <c r="B216" s="787" t="str">
        <f t="shared" ca="1" si="11"/>
        <v>invoer op het werkblad "Bonusvragen".</v>
      </c>
      <c r="C216" s="537" t="s">
        <v>499</v>
      </c>
      <c r="D216" s="537" t="s">
        <v>1142</v>
      </c>
      <c r="E216" s="537" t="s">
        <v>1532</v>
      </c>
      <c r="F216" s="537" t="s">
        <v>1843</v>
      </c>
    </row>
    <row r="217" spans="1:6" s="538" customFormat="1" x14ac:dyDescent="0.25">
      <c r="A217" s="549" t="str">
        <f t="shared" si="10"/>
        <v>04-D-212</v>
      </c>
      <c r="B217" s="788" t="str">
        <f t="shared" ca="1" si="11"/>
        <v>Bij het genereren van de deelnamecode voor de bonusvragen zijn er fouten geconstateerd. Controleer uw</v>
      </c>
      <c r="C217" s="538" t="s">
        <v>359</v>
      </c>
      <c r="D217" s="538" t="s">
        <v>1143</v>
      </c>
      <c r="E217" s="538" t="s">
        <v>1533</v>
      </c>
      <c r="F217" s="538" t="s">
        <v>1844</v>
      </c>
    </row>
    <row r="218" spans="1:6" s="537" customFormat="1" x14ac:dyDescent="0.25">
      <c r="A218" s="550" t="str">
        <f t="shared" si="10"/>
        <v>04-D-213</v>
      </c>
      <c r="B218" s="787" t="str">
        <f t="shared" ca="1" si="11"/>
        <v>invoer op het werkblad "Bonusvragen".</v>
      </c>
      <c r="C218" s="537" t="s">
        <v>499</v>
      </c>
      <c r="D218" s="537" t="s">
        <v>1144</v>
      </c>
      <c r="E218" s="537" t="s">
        <v>1534</v>
      </c>
      <c r="F218" s="537" t="s">
        <v>1843</v>
      </c>
    </row>
    <row r="219" spans="1:6" s="538" customFormat="1" x14ac:dyDescent="0.25">
      <c r="A219" s="549" t="str">
        <f t="shared" si="10"/>
        <v>04-D-214</v>
      </c>
      <c r="B219" s="788" t="str">
        <f t="shared" ca="1" si="11"/>
        <v>De deelnamecode voor de bonusvragen is zonder foutmeldingen gegenereerd.</v>
      </c>
      <c r="C219" s="538" t="s">
        <v>361</v>
      </c>
      <c r="D219" s="538" t="s">
        <v>1122</v>
      </c>
      <c r="E219" s="538" t="s">
        <v>1535</v>
      </c>
      <c r="F219" s="538" t="s">
        <v>1845</v>
      </c>
    </row>
    <row r="220" spans="1:6" s="544" customFormat="1" x14ac:dyDescent="0.25">
      <c r="A220" s="550" t="str">
        <f t="shared" si="10"/>
        <v>04-D-215</v>
      </c>
      <c r="B220" s="790" t="str">
        <f t="shared" ref="B220:B227" ca="1" si="12">TRIM(INDIRECT(CHAR(64+$C$2)&amp;ROW()))</f>
        <v/>
      </c>
    </row>
    <row r="221" spans="1:6" s="538" customFormat="1" x14ac:dyDescent="0.25">
      <c r="A221" s="549" t="str">
        <f t="shared" ref="A221:A228" si="13">LEFT(A220,5)&amp;RIGHT("000"&amp;RIGHT(A220,3)*1+1,3)</f>
        <v>04-D-216</v>
      </c>
      <c r="B221" s="788" t="str">
        <f t="shared" ca="1" si="12"/>
        <v>Teams</v>
      </c>
      <c r="C221" s="538" t="s">
        <v>1243</v>
      </c>
      <c r="D221" s="538" t="s">
        <v>1243</v>
      </c>
      <c r="E221" s="538" t="s">
        <v>1243</v>
      </c>
      <c r="F221" s="538" t="s">
        <v>1962</v>
      </c>
    </row>
    <row r="222" spans="1:6" s="537" customFormat="1" x14ac:dyDescent="0.25">
      <c r="A222" s="550" t="str">
        <f t="shared" si="13"/>
        <v>04-D-217</v>
      </c>
      <c r="B222" s="787" t="str">
        <f t="shared" ca="1" si="12"/>
        <v>Er zijn onvoldoende teams geselecteerd om een deelnamecode te genereren.</v>
      </c>
      <c r="C222" s="537" t="s">
        <v>2117</v>
      </c>
      <c r="D222" s="537" t="s">
        <v>2138</v>
      </c>
      <c r="E222" s="537" t="s">
        <v>2141</v>
      </c>
      <c r="F222" s="537" t="s">
        <v>2147</v>
      </c>
    </row>
    <row r="223" spans="1:6" s="538" customFormat="1" x14ac:dyDescent="0.25">
      <c r="A223" s="549" t="str">
        <f t="shared" si="13"/>
        <v>04-D-218</v>
      </c>
      <c r="B223" s="788" t="str">
        <f t="shared" ca="1" si="12"/>
        <v>Er zijn teveel teams geselecteerd om een deelnamecode te genereren.</v>
      </c>
      <c r="C223" s="538" t="s">
        <v>2115</v>
      </c>
      <c r="D223" s="538" t="s">
        <v>2139</v>
      </c>
      <c r="E223" s="538" t="s">
        <v>2142</v>
      </c>
      <c r="F223" s="538" t="s">
        <v>2148</v>
      </c>
    </row>
    <row r="224" spans="1:6" s="537" customFormat="1" x14ac:dyDescent="0.25">
      <c r="A224" s="550" t="str">
        <f t="shared" si="13"/>
        <v>04-D-219</v>
      </c>
      <c r="B224" s="787" t="str">
        <f t="shared" ca="1" si="12"/>
        <v>Controleer het aantal geselecteerde teams op het werkblad "Teams".</v>
      </c>
      <c r="C224" s="537" t="s">
        <v>2116</v>
      </c>
      <c r="D224" s="537" t="s">
        <v>2134</v>
      </c>
      <c r="E224" s="537" t="s">
        <v>2143</v>
      </c>
      <c r="F224" s="537" t="s">
        <v>2149</v>
      </c>
    </row>
    <row r="225" spans="1:6" s="538" customFormat="1" x14ac:dyDescent="0.25">
      <c r="A225" s="549" t="str">
        <f t="shared" si="13"/>
        <v>04-D-220</v>
      </c>
      <c r="B225" s="788" t="str">
        <f t="shared" ca="1" si="12"/>
        <v>Bij het genereren van de deelnamecode voor de teams is er een fout geconstateerd.</v>
      </c>
      <c r="C225" s="538" t="s">
        <v>2132</v>
      </c>
      <c r="D225" s="538" t="s">
        <v>2135</v>
      </c>
      <c r="E225" s="538" t="s">
        <v>2144</v>
      </c>
      <c r="F225" s="538" t="s">
        <v>2150</v>
      </c>
    </row>
    <row r="226" spans="1:6" s="537" customFormat="1" x14ac:dyDescent="0.25">
      <c r="A226" s="550" t="str">
        <f t="shared" si="13"/>
        <v>04-D-221</v>
      </c>
      <c r="B226" s="787" t="str">
        <f t="shared" ca="1" si="12"/>
        <v>Controleer uw selectie van de teams op het werkblad "Teams".</v>
      </c>
      <c r="C226" s="537" t="s">
        <v>2133</v>
      </c>
      <c r="D226" s="537" t="s">
        <v>2136</v>
      </c>
      <c r="E226" s="537" t="s">
        <v>2145</v>
      </c>
      <c r="F226" s="537" t="s">
        <v>2151</v>
      </c>
    </row>
    <row r="227" spans="1:6" s="538" customFormat="1" x14ac:dyDescent="0.25">
      <c r="A227" s="549" t="str">
        <f t="shared" si="13"/>
        <v>04-D-222</v>
      </c>
      <c r="B227" s="788" t="str">
        <f t="shared" ca="1" si="12"/>
        <v>Er zijn voldoende teams geselecteerd om een deelnamecode te genereren.</v>
      </c>
      <c r="C227" s="538" t="s">
        <v>2118</v>
      </c>
      <c r="D227" s="538" t="s">
        <v>2137</v>
      </c>
      <c r="E227" s="538" t="s">
        <v>2140</v>
      </c>
      <c r="F227" s="538" t="s">
        <v>2152</v>
      </c>
    </row>
    <row r="228" spans="1:6" s="537" customFormat="1" x14ac:dyDescent="0.25">
      <c r="A228" s="550" t="str">
        <f t="shared" si="13"/>
        <v>04-D-223</v>
      </c>
      <c r="B228" s="787" t="str">
        <f t="shared" ca="1" si="11"/>
        <v/>
      </c>
    </row>
    <row r="229" spans="1:6" s="538" customFormat="1" x14ac:dyDescent="0.25">
      <c r="A229" s="549" t="str">
        <f t="shared" si="10"/>
        <v>04-D-224</v>
      </c>
      <c r="B229" s="788" t="str">
        <f t="shared" ca="1" si="11"/>
        <v>In het onderstaande veld zal uw deelnamecode gegenereerd worden als alle velden volledig en goed zijn ingevuld.</v>
      </c>
      <c r="C229" s="538" t="s">
        <v>1096</v>
      </c>
      <c r="D229" s="538" t="s">
        <v>1095</v>
      </c>
      <c r="E229" s="538" t="s">
        <v>1536</v>
      </c>
      <c r="F229" s="538" t="s">
        <v>1846</v>
      </c>
    </row>
    <row r="230" spans="1:6" s="537" customFormat="1" x14ac:dyDescent="0.25">
      <c r="A230" s="550" t="str">
        <f t="shared" si="10"/>
        <v>04-D-225</v>
      </c>
      <c r="B230" s="787" t="str">
        <f t="shared" ca="1" si="11"/>
        <v>De deelnamecode kan niet worden gegenereerd door het ontbreken van gegevens of foutieve waarden. Het gaat om het volgende onderdeel</v>
      </c>
      <c r="C230" s="537" t="s">
        <v>1151</v>
      </c>
      <c r="D230" s="537" t="s">
        <v>1152</v>
      </c>
      <c r="E230" s="537" t="s">
        <v>1537</v>
      </c>
      <c r="F230" s="537" t="s">
        <v>1847</v>
      </c>
    </row>
    <row r="231" spans="1:6" s="538" customFormat="1" x14ac:dyDescent="0.25">
      <c r="A231" s="549" t="str">
        <f t="shared" si="10"/>
        <v>04-D-226</v>
      </c>
      <c r="B231" s="788" t="str">
        <f t="shared" ca="1" si="11"/>
        <v>De deelnamecode kan niet worden gegenereerd door het ontbreken van gegevens of foutieve waarden. Het gaat om de volgende onderdelen</v>
      </c>
      <c r="C231" s="538" t="s">
        <v>1148</v>
      </c>
      <c r="D231" s="538" t="s">
        <v>1153</v>
      </c>
      <c r="E231" s="538" t="s">
        <v>1538</v>
      </c>
      <c r="F231" s="538" t="s">
        <v>1848</v>
      </c>
    </row>
    <row r="232" spans="1:6" s="537" customFormat="1" x14ac:dyDescent="0.25">
      <c r="A232" s="550" t="str">
        <f t="shared" si="10"/>
        <v>04-D-227</v>
      </c>
      <c r="B232" s="787" t="str">
        <f t="shared" ca="1" si="11"/>
        <v>De deelnamecode kan niet worden gegenereerd door het ontbreken van het reglement. Vraag uw organisator om het reglement toe te voegen aan uw deelname formulier.</v>
      </c>
      <c r="C232" s="537" t="s">
        <v>1169</v>
      </c>
      <c r="D232" s="537" t="s">
        <v>1149</v>
      </c>
      <c r="E232" s="537" t="s">
        <v>1539</v>
      </c>
      <c r="F232" s="537" t="s">
        <v>1849</v>
      </c>
    </row>
    <row r="233" spans="1:6" s="538" customFormat="1" x14ac:dyDescent="0.25">
      <c r="A233" s="549" t="str">
        <f t="shared" si="10"/>
        <v>04-D-228</v>
      </c>
      <c r="B233" s="788" t="str">
        <f t="shared" ca="1" si="11"/>
        <v>Dit deelname formulier betreft een demo-versie voor het EK 2024 in Duitsland. Het generenen van een deelnamecode is hierin uitgeschakeld ongeacht of alle onderdelen juist zijn ingevuld.</v>
      </c>
      <c r="C233" s="538" t="s">
        <v>2458</v>
      </c>
      <c r="D233" s="538" t="s">
        <v>2459</v>
      </c>
      <c r="E233" s="538" t="s">
        <v>2460</v>
      </c>
      <c r="F233" s="538" t="s">
        <v>2461</v>
      </c>
    </row>
    <row r="234" spans="1:6" s="544" customFormat="1" x14ac:dyDescent="0.25">
      <c r="A234" s="542" t="str">
        <f>LEFT(A233,5)&amp;RIGHT("000"&amp;RIGHT(A233,3)*1+1,3)</f>
        <v>04-D-229</v>
      </c>
      <c r="B234" s="790"/>
    </row>
    <row r="235" spans="1:6" s="541" customFormat="1" x14ac:dyDescent="0.25">
      <c r="A235" s="549" t="str">
        <f t="shared" ref="A235:A280" si="14">LEFT(A234,5)&amp;RIGHT("000"&amp;RIGHT(A234,3)*1+1,3)</f>
        <v>04-D-230</v>
      </c>
      <c r="B235" s="785" t="str">
        <f t="shared" ref="B235:B271" ca="1" si="15">TRIM(INDIRECT(CHAR(64+$C$2)&amp;ROW()))</f>
        <v>De Teams</v>
      </c>
      <c r="C235" s="563" t="s">
        <v>1963</v>
      </c>
      <c r="D235" s="563" t="s">
        <v>1964</v>
      </c>
      <c r="E235" s="563" t="s">
        <v>1965</v>
      </c>
      <c r="F235" s="563" t="s">
        <v>1962</v>
      </c>
    </row>
    <row r="236" spans="1:6" s="537" customFormat="1" x14ac:dyDescent="0.25">
      <c r="A236" s="550" t="str">
        <f t="shared" si="14"/>
        <v>04-D-231</v>
      </c>
      <c r="B236" s="787" t="str">
        <f t="shared" ca="1" si="15"/>
        <v>Om een extra dimensie aan de pool en het toernooi te geven heeft de organisator de pool de teams functie ingeschakeld. Met deze functie kunt u in groepen/teams voor de eer strijden waarbij iedere speeldag de gemiddelde score per team berekend wordt.</v>
      </c>
      <c r="C236" s="537" t="s">
        <v>1966</v>
      </c>
      <c r="D236" s="537" t="s">
        <v>2023</v>
      </c>
      <c r="E236" s="537" t="s">
        <v>2024</v>
      </c>
      <c r="F236" s="537" t="s">
        <v>2025</v>
      </c>
    </row>
    <row r="237" spans="1:6" s="538" customFormat="1" x14ac:dyDescent="0.25">
      <c r="A237" s="549" t="str">
        <f t="shared" si="14"/>
        <v>04-D-232</v>
      </c>
      <c r="B237" s="788" t="str">
        <f t="shared" ca="1" si="15"/>
        <v>Selecteer uit onderstaande lijst één of meerdere teams waar u als deelnemer toe behoort op basis van de omschrijving.</v>
      </c>
      <c r="C237" s="538" t="s">
        <v>1967</v>
      </c>
      <c r="D237" s="538" t="s">
        <v>2026</v>
      </c>
      <c r="E237" s="538" t="s">
        <v>2031</v>
      </c>
      <c r="F237" s="538" t="s">
        <v>2036</v>
      </c>
    </row>
    <row r="238" spans="1:6" s="537" customFormat="1" x14ac:dyDescent="0.25">
      <c r="A238" s="550" t="str">
        <f t="shared" si="14"/>
        <v>04-D-233</v>
      </c>
      <c r="B238" s="787" t="str">
        <f t="shared" ca="1" si="15"/>
        <v>Selecteer uit onderstaander lijst minimaal $$$ @@@ waar u als deelnemer toe behoort op basis van de omschrijving.</v>
      </c>
      <c r="C238" s="537" t="s">
        <v>1973</v>
      </c>
      <c r="D238" s="537" t="s">
        <v>2027</v>
      </c>
      <c r="E238" s="537" t="s">
        <v>2032</v>
      </c>
      <c r="F238" s="537" t="s">
        <v>2037</v>
      </c>
    </row>
    <row r="239" spans="1:6" s="538" customFormat="1" x14ac:dyDescent="0.25">
      <c r="A239" s="549" t="str">
        <f t="shared" si="14"/>
        <v>04-D-234</v>
      </c>
      <c r="B239" s="788" t="str">
        <f t="shared" ca="1" si="15"/>
        <v>Selecteer uit onderstaander lijst maximaal ### @@@ waar u als deelnemer toe behoort op basis van de omschrijving.</v>
      </c>
      <c r="C239" s="538" t="s">
        <v>1974</v>
      </c>
      <c r="D239" s="538" t="s">
        <v>2028</v>
      </c>
      <c r="E239" s="538" t="s">
        <v>2033</v>
      </c>
      <c r="F239" s="538" t="s">
        <v>2038</v>
      </c>
    </row>
    <row r="240" spans="1:6" s="537" customFormat="1" x14ac:dyDescent="0.25">
      <c r="A240" s="550" t="str">
        <f t="shared" si="14"/>
        <v>04-D-235</v>
      </c>
      <c r="B240" s="787" t="str">
        <f t="shared" ca="1" si="15"/>
        <v>Selecteer uit onderstaande lijst minimaal $$$, maximaal ### @@@ waar u als deelnemer toe behoort op basis van de omschrijving.</v>
      </c>
      <c r="C240" s="537" t="s">
        <v>1975</v>
      </c>
      <c r="D240" s="537" t="s">
        <v>2029</v>
      </c>
      <c r="E240" s="537" t="s">
        <v>2034</v>
      </c>
      <c r="F240" s="537" t="s">
        <v>2039</v>
      </c>
    </row>
    <row r="241" spans="1:6" s="538" customFormat="1" x14ac:dyDescent="0.25">
      <c r="A241" s="549" t="str">
        <f t="shared" si="14"/>
        <v>04-D-236</v>
      </c>
      <c r="B241" s="788" t="str">
        <f t="shared" ca="1" si="15"/>
        <v>Selecteer uit onderstaande lijst $$$ @@@ waar u als deelnemer toe behoort op basis van de omschrijving.</v>
      </c>
      <c r="C241" s="538" t="s">
        <v>1976</v>
      </c>
      <c r="D241" s="538" t="s">
        <v>2030</v>
      </c>
      <c r="E241" s="538" t="s">
        <v>2035</v>
      </c>
      <c r="F241" s="538" t="s">
        <v>2040</v>
      </c>
    </row>
    <row r="242" spans="1:6" s="537" customFormat="1" x14ac:dyDescent="0.25">
      <c r="A242" s="550" t="str">
        <f t="shared" si="14"/>
        <v>04-D-237</v>
      </c>
      <c r="B242" s="787" t="str">
        <f t="shared" ca="1" si="15"/>
        <v>één</v>
      </c>
      <c r="C242" s="537" t="s">
        <v>1980</v>
      </c>
      <c r="D242" s="537" t="s">
        <v>2058</v>
      </c>
      <c r="E242" s="537" t="s">
        <v>2077</v>
      </c>
      <c r="F242" s="537" t="s">
        <v>2095</v>
      </c>
    </row>
    <row r="243" spans="1:6" s="538" customFormat="1" x14ac:dyDescent="0.25">
      <c r="A243" s="549" t="str">
        <f t="shared" si="14"/>
        <v>04-D-238</v>
      </c>
      <c r="B243" s="788" t="str">
        <f t="shared" ca="1" si="15"/>
        <v>twee</v>
      </c>
      <c r="C243" s="538" t="s">
        <v>1981</v>
      </c>
      <c r="D243" s="538" t="s">
        <v>2059</v>
      </c>
      <c r="E243" s="538" t="s">
        <v>2078</v>
      </c>
      <c r="F243" s="538" t="s">
        <v>2096</v>
      </c>
    </row>
    <row r="244" spans="1:6" s="537" customFormat="1" x14ac:dyDescent="0.25">
      <c r="A244" s="550" t="str">
        <f t="shared" si="14"/>
        <v>04-D-239</v>
      </c>
      <c r="B244" s="787" t="str">
        <f t="shared" ca="1" si="15"/>
        <v>drie</v>
      </c>
      <c r="C244" s="537" t="s">
        <v>1982</v>
      </c>
      <c r="D244" s="537" t="s">
        <v>2060</v>
      </c>
      <c r="E244" s="537" t="s">
        <v>2079</v>
      </c>
      <c r="F244" s="537" t="s">
        <v>2097</v>
      </c>
    </row>
    <row r="245" spans="1:6" s="538" customFormat="1" x14ac:dyDescent="0.25">
      <c r="A245" s="549" t="str">
        <f t="shared" si="14"/>
        <v>04-D-240</v>
      </c>
      <c r="B245" s="788" t="str">
        <f t="shared" ca="1" si="15"/>
        <v>vier</v>
      </c>
      <c r="C245" s="538" t="s">
        <v>1983</v>
      </c>
      <c r="D245" s="538" t="s">
        <v>2061</v>
      </c>
      <c r="E245" s="538" t="s">
        <v>1983</v>
      </c>
      <c r="F245" s="538" t="s">
        <v>2098</v>
      </c>
    </row>
    <row r="246" spans="1:6" s="537" customFormat="1" x14ac:dyDescent="0.25">
      <c r="A246" s="550" t="str">
        <f t="shared" si="14"/>
        <v>04-D-241</v>
      </c>
      <c r="B246" s="787" t="str">
        <f t="shared" ca="1" si="15"/>
        <v>vijf</v>
      </c>
      <c r="C246" s="537" t="s">
        <v>1984</v>
      </c>
      <c r="D246" s="537" t="s">
        <v>2062</v>
      </c>
      <c r="E246" s="537" t="s">
        <v>2080</v>
      </c>
      <c r="F246" s="537" t="s">
        <v>2099</v>
      </c>
    </row>
    <row r="247" spans="1:6" s="538" customFormat="1" x14ac:dyDescent="0.25">
      <c r="A247" s="549" t="str">
        <f t="shared" si="14"/>
        <v>04-D-242</v>
      </c>
      <c r="B247" s="788" t="str">
        <f t="shared" ca="1" si="15"/>
        <v>zes</v>
      </c>
      <c r="C247" s="538" t="s">
        <v>1985</v>
      </c>
      <c r="D247" s="538" t="s">
        <v>2063</v>
      </c>
      <c r="E247" s="538" t="s">
        <v>2081</v>
      </c>
      <c r="F247" s="538" t="s">
        <v>2100</v>
      </c>
    </row>
    <row r="248" spans="1:6" s="537" customFormat="1" x14ac:dyDescent="0.25">
      <c r="A248" s="550" t="str">
        <f t="shared" si="14"/>
        <v>04-D-243</v>
      </c>
      <c r="B248" s="787" t="str">
        <f t="shared" ca="1" si="15"/>
        <v>zeven</v>
      </c>
      <c r="C248" s="537" t="s">
        <v>1986</v>
      </c>
      <c r="D248" s="537" t="s">
        <v>2064</v>
      </c>
      <c r="E248" s="537" t="s">
        <v>2082</v>
      </c>
      <c r="F248" s="537" t="s">
        <v>2101</v>
      </c>
    </row>
    <row r="249" spans="1:6" s="538" customFormat="1" x14ac:dyDescent="0.25">
      <c r="A249" s="549" t="str">
        <f t="shared" si="14"/>
        <v>04-D-244</v>
      </c>
      <c r="B249" s="788" t="str">
        <f t="shared" ca="1" si="15"/>
        <v>acht</v>
      </c>
      <c r="C249" s="538" t="s">
        <v>1987</v>
      </c>
      <c r="D249" s="538" t="s">
        <v>2065</v>
      </c>
      <c r="E249" s="538" t="s">
        <v>1987</v>
      </c>
      <c r="F249" s="538" t="s">
        <v>2102</v>
      </c>
    </row>
    <row r="250" spans="1:6" s="537" customFormat="1" x14ac:dyDescent="0.25">
      <c r="A250" s="550" t="str">
        <f t="shared" si="14"/>
        <v>04-D-245</v>
      </c>
      <c r="B250" s="787" t="str">
        <f t="shared" ca="1" si="15"/>
        <v>negen</v>
      </c>
      <c r="C250" s="537" t="s">
        <v>1988</v>
      </c>
      <c r="D250" s="537" t="s">
        <v>2066</v>
      </c>
      <c r="E250" s="537" t="s">
        <v>2083</v>
      </c>
      <c r="F250" s="537" t="s">
        <v>2103</v>
      </c>
    </row>
    <row r="251" spans="1:6" s="538" customFormat="1" x14ac:dyDescent="0.25">
      <c r="A251" s="549" t="str">
        <f t="shared" si="14"/>
        <v>04-D-246</v>
      </c>
      <c r="B251" s="788" t="str">
        <f t="shared" ca="1" si="15"/>
        <v>tien</v>
      </c>
      <c r="C251" s="538" t="s">
        <v>1989</v>
      </c>
      <c r="D251" s="538" t="s">
        <v>2067</v>
      </c>
      <c r="E251" s="538" t="s">
        <v>2084</v>
      </c>
      <c r="F251" s="538" t="s">
        <v>2104</v>
      </c>
    </row>
    <row r="252" spans="1:6" s="537" customFormat="1" x14ac:dyDescent="0.25">
      <c r="A252" s="550" t="str">
        <f t="shared" si="14"/>
        <v>04-D-247</v>
      </c>
      <c r="B252" s="787" t="str">
        <f t="shared" ca="1" si="15"/>
        <v>elf</v>
      </c>
      <c r="C252" s="537" t="s">
        <v>1990</v>
      </c>
      <c r="D252" s="537" t="s">
        <v>1990</v>
      </c>
      <c r="E252" s="537" t="s">
        <v>2085</v>
      </c>
      <c r="F252" s="537" t="s">
        <v>2105</v>
      </c>
    </row>
    <row r="253" spans="1:6" s="538" customFormat="1" x14ac:dyDescent="0.25">
      <c r="A253" s="549" t="str">
        <f t="shared" si="14"/>
        <v>04-D-248</v>
      </c>
      <c r="B253" s="788" t="str">
        <f t="shared" ca="1" si="15"/>
        <v>twaalf</v>
      </c>
      <c r="C253" s="538" t="s">
        <v>1991</v>
      </c>
      <c r="D253" s="538" t="s">
        <v>2068</v>
      </c>
      <c r="E253" s="538" t="s">
        <v>2086</v>
      </c>
      <c r="F253" s="538" t="s">
        <v>2106</v>
      </c>
    </row>
    <row r="254" spans="1:6" s="537" customFormat="1" x14ac:dyDescent="0.25">
      <c r="A254" s="550" t="str">
        <f t="shared" si="14"/>
        <v>04-D-249</v>
      </c>
      <c r="B254" s="787" t="str">
        <f t="shared" ca="1" si="15"/>
        <v>dertien</v>
      </c>
      <c r="C254" s="537" t="s">
        <v>1992</v>
      </c>
      <c r="D254" s="537" t="s">
        <v>2069</v>
      </c>
      <c r="E254" s="537" t="s">
        <v>2087</v>
      </c>
      <c r="F254" s="537" t="s">
        <v>2107</v>
      </c>
    </row>
    <row r="255" spans="1:6" s="538" customFormat="1" x14ac:dyDescent="0.25">
      <c r="A255" s="549" t="str">
        <f t="shared" si="14"/>
        <v>04-D-250</v>
      </c>
      <c r="B255" s="788" t="str">
        <f t="shared" ca="1" si="15"/>
        <v>veertien</v>
      </c>
      <c r="C255" s="538" t="s">
        <v>1993</v>
      </c>
      <c r="D255" s="538" t="s">
        <v>2070</v>
      </c>
      <c r="E255" s="538" t="s">
        <v>2088</v>
      </c>
      <c r="F255" s="538" t="s">
        <v>2108</v>
      </c>
    </row>
    <row r="256" spans="1:6" s="537" customFormat="1" x14ac:dyDescent="0.25">
      <c r="A256" s="550" t="str">
        <f t="shared" si="14"/>
        <v>04-D-251</v>
      </c>
      <c r="B256" s="787" t="str">
        <f t="shared" ca="1" si="15"/>
        <v>vijftien</v>
      </c>
      <c r="C256" s="537" t="s">
        <v>1994</v>
      </c>
      <c r="D256" s="537" t="s">
        <v>2071</v>
      </c>
      <c r="E256" s="537" t="s">
        <v>2089</v>
      </c>
      <c r="F256" s="537" t="s">
        <v>2109</v>
      </c>
    </row>
    <row r="257" spans="1:6" s="538" customFormat="1" x14ac:dyDescent="0.25">
      <c r="A257" s="549" t="str">
        <f t="shared" si="14"/>
        <v>04-D-252</v>
      </c>
      <c r="B257" s="788" t="str">
        <f t="shared" ca="1" si="15"/>
        <v>zestien</v>
      </c>
      <c r="C257" s="538" t="s">
        <v>1995</v>
      </c>
      <c r="D257" s="538" t="s">
        <v>2072</v>
      </c>
      <c r="E257" s="538" t="s">
        <v>2090</v>
      </c>
      <c r="F257" s="538" t="s">
        <v>2110</v>
      </c>
    </row>
    <row r="258" spans="1:6" s="537" customFormat="1" x14ac:dyDescent="0.25">
      <c r="A258" s="550" t="str">
        <f t="shared" si="14"/>
        <v>04-D-253</v>
      </c>
      <c r="B258" s="787" t="str">
        <f t="shared" ca="1" si="15"/>
        <v>zeventien</v>
      </c>
      <c r="C258" s="537" t="s">
        <v>1996</v>
      </c>
      <c r="D258" s="537" t="s">
        <v>2073</v>
      </c>
      <c r="E258" s="537" t="s">
        <v>2091</v>
      </c>
      <c r="F258" s="537" t="s">
        <v>2111</v>
      </c>
    </row>
    <row r="259" spans="1:6" s="538" customFormat="1" x14ac:dyDescent="0.25">
      <c r="A259" s="549" t="str">
        <f t="shared" si="14"/>
        <v>04-D-254</v>
      </c>
      <c r="B259" s="788" t="str">
        <f t="shared" ca="1" si="15"/>
        <v>achting</v>
      </c>
      <c r="C259" s="538" t="s">
        <v>1997</v>
      </c>
      <c r="D259" s="538" t="s">
        <v>2074</v>
      </c>
      <c r="E259" s="538" t="s">
        <v>2092</v>
      </c>
      <c r="F259" s="538" t="s">
        <v>2112</v>
      </c>
    </row>
    <row r="260" spans="1:6" s="537" customFormat="1" x14ac:dyDescent="0.25">
      <c r="A260" s="550" t="str">
        <f t="shared" si="14"/>
        <v>04-D-255</v>
      </c>
      <c r="B260" s="787" t="str">
        <f t="shared" ca="1" si="15"/>
        <v>negentien</v>
      </c>
      <c r="C260" s="537" t="s">
        <v>1998</v>
      </c>
      <c r="D260" s="537" t="s">
        <v>2075</v>
      </c>
      <c r="E260" s="537" t="s">
        <v>2093</v>
      </c>
      <c r="F260" s="537" t="s">
        <v>2113</v>
      </c>
    </row>
    <row r="261" spans="1:6" s="538" customFormat="1" x14ac:dyDescent="0.25">
      <c r="A261" s="549" t="str">
        <f t="shared" si="14"/>
        <v>04-D-256</v>
      </c>
      <c r="B261" s="788" t="str">
        <f t="shared" ca="1" si="15"/>
        <v>twintig</v>
      </c>
      <c r="C261" s="538" t="s">
        <v>1999</v>
      </c>
      <c r="D261" s="538" t="s">
        <v>2076</v>
      </c>
      <c r="E261" s="538" t="s">
        <v>2094</v>
      </c>
      <c r="F261" s="538" t="s">
        <v>2114</v>
      </c>
    </row>
    <row r="262" spans="1:6" s="537" customFormat="1" x14ac:dyDescent="0.25">
      <c r="A262" s="550" t="str">
        <f t="shared" si="14"/>
        <v>04-D-257</v>
      </c>
      <c r="B262" s="787" t="str">
        <f t="shared" ca="1" si="15"/>
        <v>team</v>
      </c>
      <c r="C262" s="537" t="s">
        <v>2000</v>
      </c>
      <c r="D262" s="537" t="s">
        <v>2000</v>
      </c>
      <c r="E262" s="537" t="s">
        <v>19</v>
      </c>
      <c r="F262" s="537" t="s">
        <v>2052</v>
      </c>
    </row>
    <row r="263" spans="1:6" s="538" customFormat="1" x14ac:dyDescent="0.25">
      <c r="A263" s="549" t="str">
        <f t="shared" si="14"/>
        <v>04-D-258</v>
      </c>
      <c r="B263" s="788" t="str">
        <f t="shared" ca="1" si="15"/>
        <v>teams</v>
      </c>
      <c r="C263" s="538" t="s">
        <v>2001</v>
      </c>
      <c r="D263" s="538" t="s">
        <v>2001</v>
      </c>
      <c r="E263" s="538" t="s">
        <v>1243</v>
      </c>
      <c r="F263" s="538" t="s">
        <v>2052</v>
      </c>
    </row>
    <row r="264" spans="1:6" s="537" customFormat="1" x14ac:dyDescent="0.25">
      <c r="A264" s="550" t="str">
        <f t="shared" si="14"/>
        <v>04-D-259</v>
      </c>
      <c r="B264" s="787" t="str">
        <f t="shared" ca="1" si="15"/>
        <v>team selecteren</v>
      </c>
      <c r="C264" s="537" t="s">
        <v>2018</v>
      </c>
      <c r="D264" s="537" t="s">
        <v>2041</v>
      </c>
      <c r="E264" s="537" t="s">
        <v>2047</v>
      </c>
      <c r="F264" s="537" t="s">
        <v>2053</v>
      </c>
    </row>
    <row r="265" spans="1:6" s="538" customFormat="1" x14ac:dyDescent="0.25">
      <c r="A265" s="549" t="str">
        <f t="shared" si="14"/>
        <v>04-D-260</v>
      </c>
      <c r="B265" s="788" t="str">
        <f t="shared" ca="1" si="15"/>
        <v>ja</v>
      </c>
      <c r="C265" s="538" t="s">
        <v>2010</v>
      </c>
      <c r="D265" s="538" t="s">
        <v>2046</v>
      </c>
      <c r="E265" s="538" t="s">
        <v>2010</v>
      </c>
      <c r="F265" s="538" t="s">
        <v>2010</v>
      </c>
    </row>
    <row r="266" spans="1:6" s="537" customFormat="1" x14ac:dyDescent="0.25">
      <c r="A266" s="550" t="str">
        <f t="shared" si="14"/>
        <v>04-D-261</v>
      </c>
      <c r="B266" s="787" t="str">
        <f t="shared" ca="1" si="15"/>
        <v>nee</v>
      </c>
      <c r="C266" s="537" t="s">
        <v>2011</v>
      </c>
      <c r="D266" s="537" t="s">
        <v>2042</v>
      </c>
      <c r="E266" s="537" t="s">
        <v>2048</v>
      </c>
      <c r="F266" s="537" t="s">
        <v>2057</v>
      </c>
    </row>
    <row r="267" spans="1:6" s="538" customFormat="1" x14ac:dyDescent="0.25">
      <c r="A267" s="549" t="str">
        <f t="shared" si="14"/>
        <v>04-D-262</v>
      </c>
      <c r="B267" s="788" t="str">
        <f t="shared" ca="1" si="15"/>
        <v>Er zijn onvoldoende teams geselecteerd.</v>
      </c>
      <c r="C267" s="538" t="s">
        <v>2019</v>
      </c>
      <c r="D267" s="538" t="s">
        <v>2043</v>
      </c>
      <c r="E267" s="538" t="s">
        <v>2049</v>
      </c>
      <c r="F267" s="538" t="s">
        <v>2054</v>
      </c>
    </row>
    <row r="268" spans="1:6" s="537" customFormat="1" x14ac:dyDescent="0.25">
      <c r="A268" s="550" t="str">
        <f t="shared" si="14"/>
        <v>04-D-263</v>
      </c>
      <c r="B268" s="787" t="str">
        <f t="shared" ca="1" si="15"/>
        <v>Er zijn voldoende teams geselecteerd.</v>
      </c>
      <c r="C268" s="537" t="s">
        <v>2020</v>
      </c>
      <c r="D268" s="537" t="s">
        <v>2044</v>
      </c>
      <c r="E268" s="537" t="s">
        <v>2050</v>
      </c>
      <c r="F268" s="537" t="s">
        <v>2055</v>
      </c>
    </row>
    <row r="269" spans="1:6" s="538" customFormat="1" x14ac:dyDescent="0.25">
      <c r="A269" s="549" t="str">
        <f t="shared" si="14"/>
        <v>04-D-264</v>
      </c>
      <c r="B269" s="788" t="str">
        <f t="shared" ca="1" si="15"/>
        <v>Er zijn meer teams geselecteerd dan toegestaan.</v>
      </c>
      <c r="C269" s="538" t="s">
        <v>2021</v>
      </c>
      <c r="D269" s="538" t="s">
        <v>2045</v>
      </c>
      <c r="E269" s="538" t="s">
        <v>2051</v>
      </c>
      <c r="F269" s="538" t="s">
        <v>2056</v>
      </c>
    </row>
    <row r="270" spans="1:6" s="537" customFormat="1" x14ac:dyDescent="0.25">
      <c r="A270" s="550" t="str">
        <f t="shared" si="14"/>
        <v>04-D-265</v>
      </c>
      <c r="B270" s="787" t="str">
        <f t="shared" ca="1" si="15"/>
        <v>Zie volgende pagina voor de overige teams.</v>
      </c>
      <c r="C270" s="537" t="s">
        <v>2156</v>
      </c>
      <c r="D270" s="537" t="s">
        <v>2157</v>
      </c>
      <c r="E270" s="537" t="s">
        <v>2155</v>
      </c>
      <c r="F270" s="537" t="s">
        <v>2154</v>
      </c>
    </row>
    <row r="271" spans="1:6" s="538" customFormat="1" x14ac:dyDescent="0.25">
      <c r="A271" s="549" t="str">
        <f t="shared" si="14"/>
        <v>04-D-266</v>
      </c>
      <c r="B271" s="788" t="str">
        <f t="shared" ca="1" si="15"/>
        <v>Dit werkblad is niet van toepassing. De organisator heeft gekozen om de TEAMS functie niet te gebruiken.</v>
      </c>
      <c r="C271" s="538" t="s">
        <v>2158</v>
      </c>
      <c r="D271" s="538" t="s">
        <v>2159</v>
      </c>
      <c r="E271" s="538" t="s">
        <v>2160</v>
      </c>
      <c r="F271" s="538" t="s">
        <v>2161</v>
      </c>
    </row>
    <row r="272" spans="1:6" s="544" customFormat="1" x14ac:dyDescent="0.25">
      <c r="A272" s="542" t="str">
        <f t="shared" si="14"/>
        <v>04-D-267</v>
      </c>
      <c r="B272" s="792"/>
    </row>
    <row r="273" spans="1:2" s="541" customFormat="1" x14ac:dyDescent="0.25">
      <c r="A273" s="539" t="str">
        <f t="shared" si="14"/>
        <v>04-D-268</v>
      </c>
      <c r="B273" s="793"/>
    </row>
    <row r="274" spans="1:2" s="544" customFormat="1" x14ac:dyDescent="0.25">
      <c r="A274" s="542" t="str">
        <f t="shared" si="14"/>
        <v>04-D-269</v>
      </c>
      <c r="B274" s="792"/>
    </row>
    <row r="275" spans="1:2" s="541" customFormat="1" x14ac:dyDescent="0.25">
      <c r="A275" s="539" t="str">
        <f t="shared" si="14"/>
        <v>04-D-270</v>
      </c>
      <c r="B275" s="793"/>
    </row>
    <row r="276" spans="1:2" s="544" customFormat="1" x14ac:dyDescent="0.25">
      <c r="A276" s="542" t="str">
        <f t="shared" si="14"/>
        <v>04-D-271</v>
      </c>
      <c r="B276" s="792"/>
    </row>
    <row r="277" spans="1:2" s="541" customFormat="1" x14ac:dyDescent="0.25">
      <c r="A277" s="539" t="str">
        <f t="shared" si="14"/>
        <v>04-D-272</v>
      </c>
      <c r="B277" s="793"/>
    </row>
    <row r="278" spans="1:2" s="544" customFormat="1" x14ac:dyDescent="0.25">
      <c r="A278" s="542" t="str">
        <f t="shared" si="14"/>
        <v>04-D-273</v>
      </c>
      <c r="B278" s="792"/>
    </row>
    <row r="279" spans="1:2" s="541" customFormat="1" x14ac:dyDescent="0.25">
      <c r="A279" s="539" t="str">
        <f t="shared" si="14"/>
        <v>04-D-274</v>
      </c>
      <c r="B279" s="793"/>
    </row>
    <row r="280" spans="1:2" s="544" customFormat="1" x14ac:dyDescent="0.25">
      <c r="A280" s="542" t="str">
        <f t="shared" si="14"/>
        <v>04-D-275</v>
      </c>
      <c r="B280" s="792"/>
    </row>
  </sheetData>
  <hyperlinks>
    <hyperlink ref="C73" r:id="rId1" xr:uid="{00000000-0004-0000-0300-000000000000}"/>
    <hyperlink ref="D73" r:id="rId2" xr:uid="{00000000-0004-0000-0300-000001000000}"/>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01">
    <tabColor rgb="FF0050A0"/>
  </sheetPr>
  <dimension ref="A1:AG99"/>
  <sheetViews>
    <sheetView showRowColHeaders="0" topLeftCell="A34" zoomScaleNormal="100" workbookViewId="0">
      <selection activeCell="W7" sqref="W7"/>
    </sheetView>
  </sheetViews>
  <sheetFormatPr defaultColWidth="9.140625" defaultRowHeight="15" x14ac:dyDescent="0.25"/>
  <cols>
    <col min="1" max="5" width="2.7109375" style="44" customWidth="1"/>
    <col min="6" max="6" width="4.7109375" style="44" customWidth="1"/>
    <col min="7" max="7" width="2.7109375" style="44" customWidth="1"/>
    <col min="8" max="8" width="15.7109375" style="44" customWidth="1"/>
    <col min="9" max="9" width="4.7109375" style="44" customWidth="1"/>
    <col min="10" max="10" width="10.7109375" style="44" customWidth="1"/>
    <col min="11" max="11" width="7.7109375" style="44" customWidth="1"/>
    <col min="12" max="12" width="4.7109375" style="44" customWidth="1"/>
    <col min="13" max="13" width="11.7109375" style="44" customWidth="1"/>
    <col min="14" max="14" width="6.7109375" style="44" customWidth="1"/>
    <col min="15" max="15" width="4.7109375" style="44" customWidth="1"/>
    <col min="16" max="16" width="9.7109375" style="44" customWidth="1"/>
    <col min="17" max="17" width="8.7109375" style="44" customWidth="1"/>
    <col min="18" max="20" width="2.7109375" style="44" customWidth="1"/>
    <col min="21" max="21" width="4.7109375" style="44" customWidth="1"/>
    <col min="22" max="22" width="2.7109375" style="44" customWidth="1"/>
    <col min="23" max="23" width="27.7109375" style="44" customWidth="1"/>
    <col min="24" max="24" width="2.7109375" style="44" customWidth="1"/>
    <col min="25" max="26" width="14.7109375" style="44" customWidth="1"/>
    <col min="27" max="27" width="8.7109375" style="44" customWidth="1"/>
    <col min="28" max="29" width="14.7109375" style="44" customWidth="1"/>
    <col min="30" max="30" width="8.7109375" style="44" customWidth="1"/>
    <col min="31" max="34" width="14.7109375" style="44" customWidth="1"/>
    <col min="35" max="16384" width="9.140625" style="44"/>
  </cols>
  <sheetData>
    <row r="1" spans="1:26" x14ac:dyDescent="0.25">
      <c r="A1" s="93" t="s">
        <v>1961</v>
      </c>
      <c r="B1" s="93" t="s">
        <v>2393</v>
      </c>
      <c r="C1" s="93" t="s">
        <v>2391</v>
      </c>
      <c r="D1" s="93" t="s">
        <v>2392</v>
      </c>
      <c r="E1" s="93" t="s">
        <v>2462</v>
      </c>
    </row>
    <row r="2" spans="1:26" x14ac:dyDescent="0.25">
      <c r="B2" s="17"/>
      <c r="C2" s="17"/>
      <c r="D2" s="861"/>
      <c r="E2" s="17"/>
      <c r="F2" s="17"/>
      <c r="G2" s="17"/>
      <c r="H2" s="17"/>
      <c r="I2" s="17"/>
      <c r="J2" s="17"/>
      <c r="K2" s="17"/>
      <c r="L2" s="17"/>
      <c r="M2" s="17"/>
      <c r="N2" s="17"/>
      <c r="O2" s="17"/>
      <c r="P2" s="17"/>
      <c r="Q2" s="17"/>
      <c r="R2" s="17"/>
      <c r="S2" s="17"/>
      <c r="T2" s="17"/>
      <c r="V2" s="1033" t="str">
        <f ca="1">Taal01!$B$36</f>
        <v>Voorblad</v>
      </c>
      <c r="W2" s="1033"/>
      <c r="X2" s="1033"/>
      <c r="Y2" s="1033"/>
      <c r="Z2" s="1033"/>
    </row>
    <row r="3" spans="1:26" x14ac:dyDescent="0.25">
      <c r="B3" s="17"/>
      <c r="C3" s="974"/>
      <c r="D3" s="976"/>
      <c r="E3" s="976"/>
      <c r="F3" s="976"/>
      <c r="G3" s="976"/>
      <c r="H3" s="976"/>
      <c r="I3" s="976"/>
      <c r="J3" s="976"/>
      <c r="K3" s="976"/>
      <c r="L3" s="976"/>
      <c r="M3" s="976"/>
      <c r="N3" s="976"/>
      <c r="O3" s="976"/>
      <c r="P3" s="976"/>
      <c r="Q3" s="976"/>
      <c r="R3" s="984" t="str">
        <f ca="1">IF(Reglement!M3="","",Reglement!M3)</f>
        <v>EURO 2024: Jamilo EK-pool</v>
      </c>
      <c r="S3" s="978"/>
      <c r="T3" s="17"/>
      <c r="V3" s="1033"/>
      <c r="W3" s="1033"/>
      <c r="X3" s="1033"/>
      <c r="Y3" s="1033"/>
      <c r="Z3" s="1033"/>
    </row>
    <row r="4" spans="1:26" x14ac:dyDescent="0.25">
      <c r="B4" s="17"/>
      <c r="C4" s="17"/>
      <c r="D4" s="17"/>
      <c r="E4" s="17"/>
      <c r="F4" s="17"/>
      <c r="G4" s="17"/>
      <c r="H4" s="17"/>
      <c r="I4" s="17"/>
      <c r="J4" s="17"/>
      <c r="K4" s="17"/>
      <c r="L4" s="17"/>
      <c r="M4" s="17"/>
      <c r="N4" s="17"/>
      <c r="O4" s="17"/>
      <c r="P4" s="17"/>
      <c r="Q4" s="17"/>
      <c r="R4" s="57"/>
      <c r="S4" s="17"/>
      <c r="T4" s="17"/>
      <c r="V4" s="1033"/>
      <c r="W4" s="1033"/>
      <c r="X4" s="1033"/>
      <c r="Y4" s="1033"/>
      <c r="Z4" s="1033"/>
    </row>
    <row r="5" spans="1:26" x14ac:dyDescent="0.25">
      <c r="B5" s="17"/>
      <c r="C5" s="1037"/>
      <c r="D5" s="1038"/>
      <c r="E5" s="1038"/>
      <c r="F5" s="1038"/>
      <c r="G5" s="1038"/>
      <c r="H5" s="1038"/>
      <c r="I5" s="1038"/>
      <c r="J5" s="1038"/>
      <c r="K5" s="1038"/>
      <c r="L5" s="1038"/>
      <c r="M5" s="1038"/>
      <c r="N5" s="1038"/>
      <c r="O5" s="1038"/>
      <c r="P5" s="1038"/>
      <c r="Q5" s="1038"/>
      <c r="R5" s="1038"/>
      <c r="S5" s="1039"/>
      <c r="T5" s="17"/>
      <c r="V5" s="87"/>
      <c r="W5" s="55"/>
      <c r="X5" s="366"/>
    </row>
    <row r="6" spans="1:26" x14ac:dyDescent="0.25">
      <c r="B6" s="17"/>
      <c r="C6" s="1040"/>
      <c r="D6" s="1041"/>
      <c r="E6" s="1041"/>
      <c r="F6" s="1041"/>
      <c r="G6" s="1041"/>
      <c r="H6" s="1041"/>
      <c r="I6" s="1041"/>
      <c r="J6" s="1041"/>
      <c r="K6" s="1041"/>
      <c r="L6" s="1041"/>
      <c r="M6" s="1041"/>
      <c r="N6" s="1041"/>
      <c r="O6" s="1041"/>
      <c r="P6" s="1041"/>
      <c r="Q6" s="1041"/>
      <c r="R6" s="1041"/>
      <c r="S6" s="1042"/>
      <c r="T6" s="17"/>
      <c r="V6" s="944" t="str">
        <f>Taal01!$B$61&amp;" :"</f>
        <v>Choose your language :</v>
      </c>
      <c r="W6" s="15"/>
      <c r="X6" s="367"/>
    </row>
    <row r="7" spans="1:26" x14ac:dyDescent="0.25">
      <c r="B7" s="17"/>
      <c r="C7" s="1040"/>
      <c r="D7" s="1041"/>
      <c r="E7" s="1041"/>
      <c r="F7" s="1041"/>
      <c r="G7" s="1041"/>
      <c r="H7" s="1041"/>
      <c r="I7" s="1041"/>
      <c r="J7" s="1041"/>
      <c r="K7" s="1041"/>
      <c r="L7" s="1041"/>
      <c r="M7" s="1041"/>
      <c r="N7" s="1041"/>
      <c r="O7" s="1041"/>
      <c r="P7" s="1041"/>
      <c r="Q7" s="1041"/>
      <c r="R7" s="1041"/>
      <c r="S7" s="1042"/>
      <c r="T7" s="17"/>
      <c r="V7" s="945"/>
      <c r="W7" s="611" t="s">
        <v>559</v>
      </c>
      <c r="X7" s="946"/>
    </row>
    <row r="8" spans="1:26" x14ac:dyDescent="0.25">
      <c r="B8" s="17"/>
      <c r="C8" s="1040"/>
      <c r="D8" s="1041"/>
      <c r="E8" s="1041"/>
      <c r="F8" s="1041"/>
      <c r="G8" s="1041"/>
      <c r="H8" s="1041"/>
      <c r="I8" s="1041"/>
      <c r="J8" s="1041"/>
      <c r="K8" s="1041"/>
      <c r="L8" s="1041"/>
      <c r="M8" s="1041"/>
      <c r="N8" s="1041"/>
      <c r="O8" s="1041"/>
      <c r="P8" s="1041"/>
      <c r="Q8" s="1041"/>
      <c r="R8" s="1041"/>
      <c r="S8" s="1042"/>
      <c r="T8" s="17"/>
      <c r="V8" s="368"/>
      <c r="W8" s="56"/>
      <c r="X8" s="369"/>
    </row>
    <row r="9" spans="1:26" x14ac:dyDescent="0.25">
      <c r="B9" s="17"/>
      <c r="C9" s="1040"/>
      <c r="D9" s="1041"/>
      <c r="E9" s="1041"/>
      <c r="F9" s="1041"/>
      <c r="G9" s="1041"/>
      <c r="H9" s="1041"/>
      <c r="I9" s="1041"/>
      <c r="J9" s="1041"/>
      <c r="K9" s="1041"/>
      <c r="L9" s="1041"/>
      <c r="M9" s="1041"/>
      <c r="N9" s="1041"/>
      <c r="O9" s="1041"/>
      <c r="P9" s="1041"/>
      <c r="Q9" s="1041"/>
      <c r="R9" s="1041"/>
      <c r="S9" s="1042"/>
      <c r="T9" s="17"/>
    </row>
    <row r="10" spans="1:26" x14ac:dyDescent="0.25">
      <c r="B10" s="17"/>
      <c r="C10" s="1043"/>
      <c r="D10" s="1044"/>
      <c r="E10" s="1044"/>
      <c r="F10" s="1044"/>
      <c r="G10" s="1044"/>
      <c r="H10" s="1044"/>
      <c r="I10" s="1044"/>
      <c r="J10" s="1044"/>
      <c r="K10" s="1044"/>
      <c r="L10" s="1044"/>
      <c r="M10" s="1044"/>
      <c r="N10" s="1044"/>
      <c r="O10" s="1044"/>
      <c r="P10" s="1044"/>
      <c r="Q10" s="1044"/>
      <c r="R10" s="1044"/>
      <c r="S10" s="1045"/>
      <c r="T10" s="17"/>
      <c r="Y10" s="217"/>
      <c r="Z10" s="217"/>
    </row>
    <row r="11" spans="1:26" x14ac:dyDescent="0.25">
      <c r="B11" s="17"/>
      <c r="C11" s="17"/>
      <c r="D11" s="17"/>
      <c r="E11" s="17"/>
      <c r="F11" s="17"/>
      <c r="G11" s="17"/>
      <c r="H11" s="17"/>
      <c r="I11" s="17"/>
      <c r="J11" s="17"/>
      <c r="K11" s="17"/>
      <c r="L11" s="17"/>
      <c r="M11" s="17"/>
      <c r="N11" s="17"/>
      <c r="O11" s="17"/>
      <c r="P11" s="17"/>
      <c r="Q11" s="17"/>
      <c r="R11" s="17"/>
      <c r="S11" s="17"/>
      <c r="T11" s="17"/>
    </row>
    <row r="12" spans="1:26" x14ac:dyDescent="0.25">
      <c r="B12" s="17"/>
      <c r="C12" s="947"/>
      <c r="D12" s="16"/>
      <c r="E12" s="16"/>
      <c r="F12" s="16"/>
      <c r="G12" s="16"/>
      <c r="H12" s="16"/>
      <c r="I12" s="16"/>
      <c r="J12" s="16"/>
      <c r="K12" s="16"/>
      <c r="L12" s="16"/>
      <c r="M12" s="16"/>
      <c r="N12" s="16"/>
      <c r="O12" s="16"/>
      <c r="P12" s="16"/>
      <c r="Q12" s="16"/>
      <c r="R12" s="16"/>
      <c r="S12" s="948"/>
      <c r="T12" s="17"/>
      <c r="Z12" s="853"/>
    </row>
    <row r="13" spans="1:26" x14ac:dyDescent="0.25">
      <c r="B13" s="17"/>
      <c r="C13" s="949"/>
      <c r="D13" s="1046" t="str">
        <f ca="1">VLOOKUP(LOWER($S$65),$C$85:$L$98,3)</f>
        <v>HET EXCEL DEELNAME FORMULIER EURO 2024 (DUITSLAND)</v>
      </c>
      <c r="E13" s="1046"/>
      <c r="F13" s="1046"/>
      <c r="G13" s="1046"/>
      <c r="H13" s="1046"/>
      <c r="I13" s="1046"/>
      <c r="J13" s="1046"/>
      <c r="K13" s="1046"/>
      <c r="L13" s="1046"/>
      <c r="M13" s="1046"/>
      <c r="N13" s="1046"/>
      <c r="O13" s="1046"/>
      <c r="P13" s="1046"/>
      <c r="Q13" s="1046"/>
      <c r="R13" s="1046"/>
      <c r="S13" s="60"/>
      <c r="T13" s="17"/>
      <c r="Z13" s="853"/>
    </row>
    <row r="14" spans="1:26" x14ac:dyDescent="0.25">
      <c r="B14" s="17"/>
      <c r="C14" s="949"/>
      <c r="D14" s="1046"/>
      <c r="E14" s="1046"/>
      <c r="F14" s="1046"/>
      <c r="G14" s="1046"/>
      <c r="H14" s="1046"/>
      <c r="I14" s="1046"/>
      <c r="J14" s="1046"/>
      <c r="K14" s="1046"/>
      <c r="L14" s="1046"/>
      <c r="M14" s="1046"/>
      <c r="N14" s="1046"/>
      <c r="O14" s="1046"/>
      <c r="P14" s="1046"/>
      <c r="Q14" s="1046"/>
      <c r="R14" s="1046"/>
      <c r="S14" s="60"/>
      <c r="T14" s="17"/>
      <c r="W14" s="860"/>
      <c r="Z14" s="853"/>
    </row>
    <row r="15" spans="1:26" x14ac:dyDescent="0.25">
      <c r="B15" s="17"/>
      <c r="C15" s="1047" t="str">
        <f>VLOOKUP(LOWER($S$65),$C$85:$L$98,10)</f>
        <v/>
      </c>
      <c r="D15" s="1048"/>
      <c r="E15" s="1048"/>
      <c r="F15" s="1048"/>
      <c r="G15" s="1048"/>
      <c r="H15" s="1048"/>
      <c r="I15" s="1048"/>
      <c r="J15" s="1048"/>
      <c r="K15" s="1048"/>
      <c r="L15" s="1048"/>
      <c r="M15" s="1048"/>
      <c r="N15" s="1048"/>
      <c r="O15" s="1048"/>
      <c r="P15" s="1048"/>
      <c r="Q15" s="1048"/>
      <c r="R15" s="1048"/>
      <c r="S15" s="1049"/>
      <c r="T15" s="17"/>
      <c r="Z15" s="853"/>
    </row>
    <row r="16" spans="1:26" x14ac:dyDescent="0.25">
      <c r="B16" s="17"/>
      <c r="C16" s="12"/>
      <c r="D16" s="12"/>
      <c r="E16" s="12"/>
      <c r="F16" s="12"/>
      <c r="G16" s="12"/>
      <c r="H16" s="12"/>
      <c r="I16" s="12"/>
      <c r="J16" s="12"/>
      <c r="K16" s="12"/>
      <c r="L16" s="12"/>
      <c r="M16" s="12"/>
      <c r="N16" s="12"/>
      <c r="O16" s="12"/>
      <c r="P16" s="12"/>
      <c r="Q16" s="12"/>
      <c r="R16" s="12"/>
      <c r="S16" s="12"/>
      <c r="T16" s="17"/>
      <c r="Z16" s="853"/>
    </row>
    <row r="17" spans="2:26" x14ac:dyDescent="0.25">
      <c r="B17" s="17"/>
      <c r="C17" s="979"/>
      <c r="D17" s="980" t="str">
        <f ca="1">Taal01!$B$8</f>
        <v>UEFA Europees kampioenschap: Duitsland</v>
      </c>
      <c r="E17" s="981"/>
      <c r="F17" s="981"/>
      <c r="G17" s="981"/>
      <c r="H17" s="981"/>
      <c r="I17" s="981"/>
      <c r="J17" s="981"/>
      <c r="K17" s="981"/>
      <c r="L17" s="981"/>
      <c r="M17" s="981"/>
      <c r="N17" s="981"/>
      <c r="O17" s="981"/>
      <c r="P17" s="981"/>
      <c r="Q17" s="981"/>
      <c r="R17" s="982"/>
      <c r="S17" s="983"/>
      <c r="T17" s="17"/>
      <c r="Z17" s="853"/>
    </row>
    <row r="18" spans="2:26" x14ac:dyDescent="0.25">
      <c r="B18" s="17"/>
      <c r="C18" s="949"/>
      <c r="D18" s="46"/>
      <c r="E18" s="17"/>
      <c r="F18" s="17"/>
      <c r="G18" s="17"/>
      <c r="H18" s="17"/>
      <c r="I18" s="17"/>
      <c r="J18" s="17"/>
      <c r="K18" s="17"/>
      <c r="L18" s="17"/>
      <c r="M18" s="17"/>
      <c r="N18" s="17"/>
      <c r="O18" s="17"/>
      <c r="P18" s="17"/>
      <c r="Q18" s="17"/>
      <c r="R18" s="58"/>
      <c r="S18" s="60"/>
      <c r="T18" s="17"/>
      <c r="W18" s="862"/>
    </row>
    <row r="19" spans="2:26" x14ac:dyDescent="0.25">
      <c r="B19" s="17"/>
      <c r="C19" s="949"/>
      <c r="D19" s="17"/>
      <c r="E19" s="17"/>
      <c r="F19" s="17"/>
      <c r="G19" s="17"/>
      <c r="H19" s="17"/>
      <c r="I19" s="17"/>
      <c r="J19" s="17"/>
      <c r="K19" s="17"/>
      <c r="L19" s="17"/>
      <c r="M19" s="17"/>
      <c r="N19" s="17"/>
      <c r="O19" s="17"/>
      <c r="P19" s="17"/>
      <c r="Q19" s="17"/>
      <c r="R19" s="17"/>
      <c r="S19" s="60"/>
      <c r="T19" s="17"/>
    </row>
    <row r="20" spans="2:26" x14ac:dyDescent="0.25">
      <c r="B20" s="17"/>
      <c r="C20" s="949"/>
      <c r="D20" s="17"/>
      <c r="E20" s="17"/>
      <c r="F20" s="17"/>
      <c r="G20" s="17"/>
      <c r="H20" s="17"/>
      <c r="I20" s="17"/>
      <c r="J20" s="17"/>
      <c r="K20" s="17"/>
      <c r="L20" s="17"/>
      <c r="M20" s="17"/>
      <c r="N20" s="94"/>
      <c r="O20" s="94"/>
      <c r="P20" s="94"/>
      <c r="Q20" s="94"/>
      <c r="R20" s="17"/>
      <c r="S20" s="60"/>
      <c r="T20" s="17"/>
    </row>
    <row r="21" spans="2:26" ht="15" customHeight="1" x14ac:dyDescent="0.25">
      <c r="B21" s="17"/>
      <c r="C21" s="949"/>
      <c r="D21" s="17"/>
      <c r="E21" s="17"/>
      <c r="F21" s="17"/>
      <c r="G21" s="17"/>
      <c r="H21" s="17"/>
      <c r="I21" s="17"/>
      <c r="J21" s="17"/>
      <c r="K21" s="17"/>
      <c r="L21" s="17"/>
      <c r="M21" s="17"/>
      <c r="N21" s="94"/>
      <c r="O21" s="94"/>
      <c r="P21" s="94"/>
      <c r="Q21" s="94"/>
      <c r="R21" s="17"/>
      <c r="S21" s="60"/>
      <c r="T21" s="17"/>
    </row>
    <row r="22" spans="2:26" ht="15" customHeight="1" x14ac:dyDescent="0.25">
      <c r="B22" s="17"/>
      <c r="C22" s="949"/>
      <c r="D22" s="17"/>
      <c r="E22" s="17"/>
      <c r="F22" s="17"/>
      <c r="G22" s="17"/>
      <c r="H22" s="17"/>
      <c r="I22" s="17"/>
      <c r="J22" s="17"/>
      <c r="K22" s="17"/>
      <c r="L22" s="17"/>
      <c r="M22" s="17"/>
      <c r="N22" s="94"/>
      <c r="O22" s="94"/>
      <c r="P22" s="94"/>
      <c r="Q22" s="94"/>
      <c r="R22" s="17"/>
      <c r="S22" s="60"/>
      <c r="T22" s="17"/>
    </row>
    <row r="23" spans="2:26" x14ac:dyDescent="0.25">
      <c r="B23" s="17"/>
      <c r="C23" s="949"/>
      <c r="D23" s="17"/>
      <c r="E23" s="17"/>
      <c r="F23" s="17"/>
      <c r="G23" s="17"/>
      <c r="H23" s="17"/>
      <c r="I23" s="17"/>
      <c r="J23" s="17"/>
      <c r="K23" s="17"/>
      <c r="L23" s="17"/>
      <c r="M23" s="17"/>
      <c r="N23" s="94"/>
      <c r="O23" s="94"/>
      <c r="P23" s="94"/>
      <c r="Q23" s="94"/>
      <c r="R23" s="17"/>
      <c r="S23" s="60"/>
      <c r="T23" s="17"/>
    </row>
    <row r="24" spans="2:26" x14ac:dyDescent="0.25">
      <c r="B24" s="17"/>
      <c r="C24" s="949"/>
      <c r="D24" s="17"/>
      <c r="E24" s="17"/>
      <c r="F24" s="17"/>
      <c r="G24" s="17"/>
      <c r="H24" s="17"/>
      <c r="I24" s="17"/>
      <c r="J24" s="17"/>
      <c r="K24" s="17"/>
      <c r="L24" s="17"/>
      <c r="M24" s="17"/>
      <c r="N24" s="94"/>
      <c r="O24" s="94"/>
      <c r="P24" s="94"/>
      <c r="Q24" s="94"/>
      <c r="R24" s="17"/>
      <c r="S24" s="60"/>
      <c r="T24" s="17"/>
      <c r="U24" s="44" t="s">
        <v>322</v>
      </c>
    </row>
    <row r="25" spans="2:26" x14ac:dyDescent="0.25">
      <c r="B25" s="17"/>
      <c r="C25" s="949"/>
      <c r="D25" s="17"/>
      <c r="E25" s="17"/>
      <c r="F25" s="17"/>
      <c r="G25" s="17"/>
      <c r="H25" s="17"/>
      <c r="I25" s="17"/>
      <c r="J25" s="17"/>
      <c r="K25" s="17"/>
      <c r="L25" s="17"/>
      <c r="M25" s="94"/>
      <c r="N25" s="94"/>
      <c r="O25" s="94"/>
      <c r="P25" s="94"/>
      <c r="Q25" s="94"/>
      <c r="R25" s="17"/>
      <c r="S25" s="60"/>
      <c r="T25" s="17"/>
    </row>
    <row r="26" spans="2:26" x14ac:dyDescent="0.25">
      <c r="B26" s="17"/>
      <c r="C26" s="949"/>
      <c r="D26" s="17"/>
      <c r="E26" s="17"/>
      <c r="F26" s="17"/>
      <c r="G26" s="17"/>
      <c r="H26" s="17"/>
      <c r="I26" s="17"/>
      <c r="J26" s="17"/>
      <c r="K26" s="17"/>
      <c r="L26" s="17"/>
      <c r="M26" s="94"/>
      <c r="N26" s="94"/>
      <c r="O26" s="94"/>
      <c r="P26" s="94"/>
      <c r="Q26" s="17"/>
      <c r="R26" s="17"/>
      <c r="S26" s="60"/>
      <c r="T26" s="17"/>
    </row>
    <row r="27" spans="2:26" ht="15" customHeight="1" x14ac:dyDescent="0.25">
      <c r="B27" s="17"/>
      <c r="C27" s="949"/>
      <c r="D27" s="17"/>
      <c r="E27" s="17"/>
      <c r="F27" s="17"/>
      <c r="G27" s="17"/>
      <c r="H27" s="17"/>
      <c r="I27" s="17"/>
      <c r="J27" s="17"/>
      <c r="K27" s="17"/>
      <c r="L27" s="17"/>
      <c r="M27" s="116"/>
      <c r="N27" s="116"/>
      <c r="O27" s="116"/>
      <c r="P27" s="116"/>
      <c r="Q27" s="116"/>
      <c r="R27" s="116"/>
      <c r="S27" s="60"/>
      <c r="T27" s="17"/>
    </row>
    <row r="28" spans="2:26" ht="15" customHeight="1" x14ac:dyDescent="0.25">
      <c r="B28" s="17"/>
      <c r="C28" s="949"/>
      <c r="D28" s="17"/>
      <c r="E28" s="17"/>
      <c r="F28" s="17"/>
      <c r="G28" s="17"/>
      <c r="H28" s="17"/>
      <c r="I28" s="17"/>
      <c r="J28" s="17"/>
      <c r="K28" s="17"/>
      <c r="L28" s="17"/>
      <c r="M28" s="17"/>
      <c r="N28" s="17"/>
      <c r="O28" s="17"/>
      <c r="P28" s="17"/>
      <c r="Q28" s="17"/>
      <c r="R28" s="17"/>
      <c r="S28" s="60"/>
      <c r="T28" s="17"/>
    </row>
    <row r="29" spans="2:26" x14ac:dyDescent="0.25">
      <c r="B29" s="17"/>
      <c r="C29" s="949"/>
      <c r="D29" s="17"/>
      <c r="E29" s="17"/>
      <c r="F29" s="17"/>
      <c r="G29" s="17"/>
      <c r="H29" s="17"/>
      <c r="I29" s="17"/>
      <c r="J29" s="17"/>
      <c r="K29" s="17"/>
      <c r="L29" s="17"/>
      <c r="M29" s="17"/>
      <c r="N29" s="17"/>
      <c r="O29" s="17"/>
      <c r="P29" s="17"/>
      <c r="Q29" s="17"/>
      <c r="R29" s="17"/>
      <c r="S29" s="60"/>
      <c r="T29" s="17"/>
    </row>
    <row r="30" spans="2:26" x14ac:dyDescent="0.25">
      <c r="B30" s="17"/>
      <c r="C30" s="949"/>
      <c r="D30" s="17"/>
      <c r="E30" s="17"/>
      <c r="F30" s="17"/>
      <c r="G30" s="17"/>
      <c r="H30" s="17"/>
      <c r="I30" s="17"/>
      <c r="J30" s="17"/>
      <c r="K30" s="17"/>
      <c r="L30" s="17"/>
      <c r="M30" s="17"/>
      <c r="N30" s="17"/>
      <c r="O30" s="17"/>
      <c r="P30" s="17"/>
      <c r="Q30" s="17"/>
      <c r="R30" s="17"/>
      <c r="S30" s="60"/>
      <c r="T30" s="17"/>
    </row>
    <row r="31" spans="2:26" x14ac:dyDescent="0.25">
      <c r="B31" s="17"/>
      <c r="C31" s="949"/>
      <c r="D31" s="17"/>
      <c r="E31" s="17"/>
      <c r="F31" s="17"/>
      <c r="G31" s="17"/>
      <c r="H31" s="17"/>
      <c r="I31" s="17"/>
      <c r="J31" s="17"/>
      <c r="K31" s="17"/>
      <c r="L31" s="17"/>
      <c r="M31" s="17"/>
      <c r="N31" s="17"/>
      <c r="O31" s="17"/>
      <c r="P31" s="17"/>
      <c r="Q31" s="17"/>
      <c r="R31" s="17"/>
      <c r="S31" s="60"/>
      <c r="T31" s="17"/>
    </row>
    <row r="32" spans="2:26" x14ac:dyDescent="0.25">
      <c r="B32" s="17"/>
      <c r="C32" s="949"/>
      <c r="D32" s="17"/>
      <c r="E32" s="17"/>
      <c r="F32" s="17"/>
      <c r="G32" s="17"/>
      <c r="H32" s="17"/>
      <c r="I32" s="17"/>
      <c r="J32" s="17"/>
      <c r="K32" s="17"/>
      <c r="L32" s="17"/>
      <c r="M32" s="17"/>
      <c r="N32" s="17"/>
      <c r="O32" s="17"/>
      <c r="P32" s="17"/>
      <c r="Q32" s="17"/>
      <c r="R32" s="17"/>
      <c r="S32" s="60"/>
      <c r="T32" s="17"/>
    </row>
    <row r="33" spans="2:30" x14ac:dyDescent="0.25">
      <c r="B33" s="17"/>
      <c r="C33" s="949"/>
      <c r="D33" s="17"/>
      <c r="E33" s="17"/>
      <c r="F33" s="17"/>
      <c r="G33" s="17"/>
      <c r="H33" s="17"/>
      <c r="I33" s="17"/>
      <c r="J33" s="17"/>
      <c r="K33" s="17"/>
      <c r="L33" s="17"/>
      <c r="M33" s="17"/>
      <c r="N33" s="17"/>
      <c r="O33" s="17"/>
      <c r="P33" s="17"/>
      <c r="Q33" s="17"/>
      <c r="R33" s="17"/>
      <c r="S33" s="60"/>
      <c r="T33" s="17"/>
    </row>
    <row r="34" spans="2:30" x14ac:dyDescent="0.25">
      <c r="B34" s="17"/>
      <c r="C34" s="949"/>
      <c r="D34" s="17"/>
      <c r="E34" s="17"/>
      <c r="F34" s="17"/>
      <c r="G34" s="17"/>
      <c r="H34" s="17"/>
      <c r="I34" s="17"/>
      <c r="J34" s="17"/>
      <c r="K34" s="17"/>
      <c r="L34" s="17"/>
      <c r="M34" s="17"/>
      <c r="N34" s="17"/>
      <c r="O34" s="17"/>
      <c r="P34" s="17"/>
      <c r="Q34" s="17"/>
      <c r="R34" s="17"/>
      <c r="S34" s="60"/>
      <c r="T34" s="17"/>
    </row>
    <row r="35" spans="2:30" ht="15" customHeight="1" x14ac:dyDescent="0.25">
      <c r="B35" s="17"/>
      <c r="C35" s="949"/>
      <c r="D35" s="17"/>
      <c r="E35" s="17"/>
      <c r="F35" s="17"/>
      <c r="G35" s="17"/>
      <c r="H35" s="17"/>
      <c r="I35" s="17"/>
      <c r="J35" s="17"/>
      <c r="K35" s="17"/>
      <c r="L35" s="17"/>
      <c r="M35" s="17"/>
      <c r="N35" s="17"/>
      <c r="O35" s="17"/>
      <c r="P35" s="17"/>
      <c r="Q35" s="17"/>
      <c r="R35" s="17"/>
      <c r="S35" s="60"/>
      <c r="T35" s="17"/>
    </row>
    <row r="36" spans="2:30" ht="15" customHeight="1" x14ac:dyDescent="0.25">
      <c r="B36" s="17"/>
      <c r="C36" s="949"/>
      <c r="D36" s="17"/>
      <c r="E36" s="17"/>
      <c r="F36" s="17"/>
      <c r="G36" s="17"/>
      <c r="H36" s="17"/>
      <c r="I36" s="17"/>
      <c r="J36" s="17"/>
      <c r="K36" s="17"/>
      <c r="L36" s="17"/>
      <c r="M36" s="17"/>
      <c r="N36" s="17"/>
      <c r="O36" s="17"/>
      <c r="P36" s="17"/>
      <c r="Q36" s="17"/>
      <c r="R36" s="17"/>
      <c r="S36" s="60"/>
      <c r="T36" s="17"/>
    </row>
    <row r="37" spans="2:30" ht="15" customHeight="1" x14ac:dyDescent="0.25">
      <c r="B37" s="17"/>
      <c r="C37" s="949"/>
      <c r="D37" s="17"/>
      <c r="E37" s="17"/>
      <c r="F37" s="17"/>
      <c r="G37" s="17"/>
      <c r="H37" s="17"/>
      <c r="I37" s="17"/>
      <c r="J37" s="17"/>
      <c r="K37" s="17"/>
      <c r="L37" s="17"/>
      <c r="M37" s="17"/>
      <c r="N37" s="17"/>
      <c r="O37" s="17"/>
      <c r="P37" s="17"/>
      <c r="Q37" s="17"/>
      <c r="R37" s="17"/>
      <c r="S37" s="60"/>
      <c r="T37" s="17"/>
    </row>
    <row r="38" spans="2:30" ht="15" customHeight="1" x14ac:dyDescent="0.25">
      <c r="B38" s="17"/>
      <c r="C38" s="949"/>
      <c r="D38" s="17"/>
      <c r="E38" s="17"/>
      <c r="F38" s="17"/>
      <c r="G38" s="17"/>
      <c r="H38" s="17"/>
      <c r="I38" s="17"/>
      <c r="J38" s="17"/>
      <c r="K38" s="17"/>
      <c r="L38" s="17"/>
      <c r="M38" s="17"/>
      <c r="N38" s="17"/>
      <c r="O38" s="17"/>
      <c r="P38" s="17"/>
      <c r="Q38" s="17"/>
      <c r="R38" s="17"/>
      <c r="S38" s="60"/>
      <c r="T38" s="17"/>
    </row>
    <row r="39" spans="2:30" ht="15" customHeight="1" x14ac:dyDescent="0.25">
      <c r="B39" s="17"/>
      <c r="C39" s="949"/>
      <c r="D39" s="17"/>
      <c r="E39" s="17"/>
      <c r="F39" s="17"/>
      <c r="G39" s="17"/>
      <c r="H39" s="17"/>
      <c r="I39" s="17"/>
      <c r="J39" s="17"/>
      <c r="K39" s="17"/>
      <c r="L39" s="17"/>
      <c r="M39" s="17"/>
      <c r="N39" s="17"/>
      <c r="O39" s="17"/>
      <c r="P39" s="17"/>
      <c r="Q39" s="17"/>
      <c r="R39" s="17"/>
      <c r="S39" s="60"/>
      <c r="T39" s="17"/>
      <c r="AD39" s="854"/>
    </row>
    <row r="40" spans="2:30" ht="15" customHeight="1" x14ac:dyDescent="0.25">
      <c r="B40" s="17"/>
      <c r="C40" s="949"/>
      <c r="D40" s="17"/>
      <c r="E40" s="17"/>
      <c r="F40" s="17"/>
      <c r="G40" s="17"/>
      <c r="H40" s="17"/>
      <c r="I40" s="17"/>
      <c r="J40" s="17"/>
      <c r="K40" s="17"/>
      <c r="L40" s="17"/>
      <c r="M40" s="17"/>
      <c r="N40" s="17"/>
      <c r="O40" s="17"/>
      <c r="P40" s="17"/>
      <c r="Q40" s="17"/>
      <c r="R40" s="17"/>
      <c r="S40" s="60"/>
      <c r="T40" s="17"/>
    </row>
    <row r="41" spans="2:30" ht="15" customHeight="1" x14ac:dyDescent="0.5">
      <c r="B41" s="17"/>
      <c r="C41" s="949"/>
      <c r="D41" s="17"/>
      <c r="E41" s="17"/>
      <c r="F41" s="17"/>
      <c r="G41" s="17"/>
      <c r="H41" s="17"/>
      <c r="I41" s="17"/>
      <c r="J41" s="432"/>
      <c r="K41" s="432"/>
      <c r="L41" s="432"/>
      <c r="M41" s="432"/>
      <c r="N41" s="17"/>
      <c r="O41" s="17"/>
      <c r="P41" s="17"/>
      <c r="Q41" s="17"/>
      <c r="R41" s="17"/>
      <c r="S41" s="60"/>
      <c r="T41" s="17"/>
    </row>
    <row r="42" spans="2:30" ht="15" customHeight="1" x14ac:dyDescent="0.5">
      <c r="B42" s="17"/>
      <c r="C42" s="949"/>
      <c r="D42" s="17"/>
      <c r="E42" s="17"/>
      <c r="F42" s="17"/>
      <c r="G42" s="17"/>
      <c r="H42" s="17"/>
      <c r="I42" s="17"/>
      <c r="J42" s="432"/>
      <c r="K42" s="432"/>
      <c r="L42" s="432"/>
      <c r="M42" s="432"/>
      <c r="N42" s="17"/>
      <c r="O42" s="17"/>
      <c r="P42" s="17"/>
      <c r="Q42" s="17"/>
      <c r="R42" s="17"/>
      <c r="S42" s="60"/>
      <c r="T42" s="17"/>
    </row>
    <row r="43" spans="2:30" ht="15" customHeight="1" x14ac:dyDescent="0.25">
      <c r="B43" s="17"/>
      <c r="C43" s="949"/>
      <c r="D43" s="17"/>
      <c r="E43" s="17"/>
      <c r="F43" s="17"/>
      <c r="G43" s="17"/>
      <c r="H43" s="17"/>
      <c r="I43" s="17"/>
      <c r="J43" s="1052" t="str">
        <f ca="1">UPPER(IF($D$13=$C$80&amp;" "&amp;$C$77,"",IF(M45=1,Taal01!$B$9,IF(M45&gt;1,SUBSTITUTE(Taal01!$B$10,"###",M45),""))))</f>
        <v>NOG ÉÉN DAG TOT DE START VAN EURO 2024</v>
      </c>
      <c r="K43" s="1052"/>
      <c r="L43" s="1052"/>
      <c r="M43" s="1052"/>
      <c r="N43" s="17"/>
      <c r="O43" s="17"/>
      <c r="P43" s="17"/>
      <c r="Q43" s="17"/>
      <c r="R43" s="17"/>
      <c r="S43" s="60"/>
      <c r="T43" s="17"/>
    </row>
    <row r="44" spans="2:30" ht="15" customHeight="1" x14ac:dyDescent="0.25">
      <c r="B44" s="17"/>
      <c r="C44" s="949"/>
      <c r="D44" s="421"/>
      <c r="E44" s="421"/>
      <c r="F44" s="421"/>
      <c r="G44" s="421"/>
      <c r="H44" s="421"/>
      <c r="I44" s="421"/>
      <c r="J44" s="1052"/>
      <c r="K44" s="1052"/>
      <c r="L44" s="1052"/>
      <c r="M44" s="1052"/>
      <c r="N44" s="17"/>
      <c r="O44" s="17"/>
      <c r="P44" s="17"/>
      <c r="Q44" s="17"/>
      <c r="R44" s="17"/>
      <c r="S44" s="60"/>
      <c r="T44" s="17"/>
    </row>
    <row r="45" spans="2:30" ht="15" customHeight="1" x14ac:dyDescent="0.5">
      <c r="B45" s="17"/>
      <c r="C45" s="949"/>
      <c r="D45" s="422"/>
      <c r="E45" s="422"/>
      <c r="F45" s="422"/>
      <c r="G45" s="422"/>
      <c r="H45" s="422"/>
      <c r="I45" s="422"/>
      <c r="J45" s="938">
        <f ca="1">TODAY()</f>
        <v>45456</v>
      </c>
      <c r="K45" s="1036">
        <v>45457</v>
      </c>
      <c r="L45" s="1036"/>
      <c r="M45" s="431">
        <f ca="1">K45-J45</f>
        <v>1</v>
      </c>
      <c r="N45" s="17"/>
      <c r="O45" s="17"/>
      <c r="P45" s="17"/>
      <c r="Q45" s="17"/>
      <c r="R45" s="17"/>
      <c r="S45" s="60"/>
      <c r="T45" s="17"/>
    </row>
    <row r="46" spans="2:30" ht="15" customHeight="1" x14ac:dyDescent="0.5">
      <c r="B46" s="17"/>
      <c r="C46" s="950"/>
      <c r="D46" s="951"/>
      <c r="E46" s="951"/>
      <c r="F46" s="951"/>
      <c r="G46" s="951"/>
      <c r="H46" s="951"/>
      <c r="I46" s="951"/>
      <c r="J46" s="951"/>
      <c r="K46" s="107"/>
      <c r="L46" s="107"/>
      <c r="M46" s="107"/>
      <c r="N46" s="107"/>
      <c r="O46" s="107"/>
      <c r="P46" s="107"/>
      <c r="Q46" s="107"/>
      <c r="R46" s="107"/>
      <c r="S46" s="952"/>
      <c r="T46" s="17"/>
    </row>
    <row r="47" spans="2:30" x14ac:dyDescent="0.25">
      <c r="B47" s="17"/>
      <c r="C47" s="12"/>
      <c r="D47" s="429"/>
      <c r="E47" s="429"/>
      <c r="F47" s="429"/>
      <c r="G47" s="429"/>
      <c r="H47" s="429"/>
      <c r="I47" s="430"/>
      <c r="J47" s="430"/>
      <c r="K47" s="12"/>
      <c r="L47" s="12"/>
      <c r="M47" s="12"/>
      <c r="N47" s="12"/>
      <c r="O47" s="12"/>
      <c r="P47" s="12"/>
      <c r="Q47" s="12"/>
      <c r="R47" s="12"/>
      <c r="S47" s="12"/>
      <c r="T47" s="17"/>
    </row>
    <row r="48" spans="2:30" x14ac:dyDescent="0.25">
      <c r="B48" s="17"/>
      <c r="C48" s="947"/>
      <c r="D48" s="16"/>
      <c r="E48" s="16"/>
      <c r="F48" s="16"/>
      <c r="G48" s="16"/>
      <c r="H48" s="16"/>
      <c r="I48" s="16"/>
      <c r="J48" s="16"/>
      <c r="K48" s="16"/>
      <c r="L48" s="16"/>
      <c r="M48" s="16"/>
      <c r="N48" s="16"/>
      <c r="O48" s="16"/>
      <c r="P48" s="16"/>
      <c r="Q48" s="16"/>
      <c r="R48" s="16"/>
      <c r="S48" s="948"/>
      <c r="T48" s="17"/>
    </row>
    <row r="49" spans="2:20" ht="18.75" customHeight="1" x14ac:dyDescent="0.3">
      <c r="B49" s="17"/>
      <c r="C49" s="949"/>
      <c r="D49" s="17"/>
      <c r="E49" s="17"/>
      <c r="F49" s="17"/>
      <c r="G49" s="503" t="str">
        <f ca="1">Taal02!$B$6</f>
        <v>Groep A</v>
      </c>
      <c r="H49" s="504"/>
      <c r="I49" s="504"/>
      <c r="J49" s="505" t="str">
        <f ca="1">Taal02!$B$11</f>
        <v>Groep B</v>
      </c>
      <c r="K49" s="381"/>
      <c r="L49" s="506"/>
      <c r="M49" s="505" t="str">
        <f ca="1">Taal02!$B$16</f>
        <v>Groep C</v>
      </c>
      <c r="N49" s="504"/>
      <c r="O49" s="504"/>
      <c r="P49" s="505" t="str">
        <f ca="1">Taal02!$B$36</f>
        <v>Groep G</v>
      </c>
      <c r="Q49" s="77"/>
      <c r="R49" s="17"/>
      <c r="S49" s="60"/>
      <c r="T49" s="17"/>
    </row>
    <row r="50" spans="2:20" ht="18.75" customHeight="1" x14ac:dyDescent="0.3">
      <c r="B50" s="17"/>
      <c r="C50" s="949"/>
      <c r="D50" s="17"/>
      <c r="E50" s="17"/>
      <c r="F50" s="17"/>
      <c r="G50" s="504" t="str">
        <f ca="1">VLOOKUP(RIGHT(G49,1)&amp;"1",$X$67:$Z$98,2)</f>
        <v>Duitsland</v>
      </c>
      <c r="H50" s="17"/>
      <c r="I50" s="17"/>
      <c r="J50" s="507" t="str">
        <f ca="1">VLOOKUP(RIGHT(J49,1)&amp;"1",$X$67:$Z$98,2)</f>
        <v>Spanje</v>
      </c>
      <c r="K50" s="381"/>
      <c r="L50" s="381"/>
      <c r="M50" s="507" t="str">
        <f ca="1">VLOOKUP(RIGHT(M49,1)&amp;"1",$X$67:$Z$98,2)</f>
        <v>Slovenië</v>
      </c>
      <c r="N50" s="17"/>
      <c r="O50" s="17"/>
      <c r="P50" s="507" t="str">
        <f ca="1">VLOOKUP(RIGHT(P49,1)&amp;"1",$X$67:$Z$98,2)</f>
        <v>ZZZ_land_G1</v>
      </c>
      <c r="Q50" s="77"/>
      <c r="R50" s="17"/>
      <c r="S50" s="60"/>
      <c r="T50" s="17"/>
    </row>
    <row r="51" spans="2:20" ht="18.75" customHeight="1" x14ac:dyDescent="0.3">
      <c r="B51" s="17"/>
      <c r="C51" s="949"/>
      <c r="D51" s="17"/>
      <c r="E51" s="17"/>
      <c r="F51" s="17"/>
      <c r="G51" s="504" t="str">
        <f ca="1">VLOOKUP(RIGHT(G49,1)&amp;"2",$X$67:$Z$98,2)</f>
        <v>Schotland</v>
      </c>
      <c r="H51" s="17"/>
      <c r="I51" s="17"/>
      <c r="J51" s="507" t="str">
        <f ca="1">VLOOKUP(RIGHT(J49,1)&amp;"2",$X$67:$Z$98,2)</f>
        <v>Kroatië</v>
      </c>
      <c r="K51" s="381"/>
      <c r="L51" s="381"/>
      <c r="M51" s="507" t="str">
        <f ca="1">VLOOKUP(RIGHT(M49,1)&amp;"2",$X$67:$Z$98,2)</f>
        <v>Denemarken</v>
      </c>
      <c r="N51" s="17"/>
      <c r="O51" s="17"/>
      <c r="P51" s="507" t="str">
        <f ca="1">VLOOKUP(RIGHT(P49,1)&amp;"2",$X$67:$Z$98,2)</f>
        <v>ZZZ_land_G2</v>
      </c>
      <c r="Q51" s="77"/>
      <c r="R51" s="17"/>
      <c r="S51" s="60"/>
      <c r="T51" s="17"/>
    </row>
    <row r="52" spans="2:20" ht="18.75" customHeight="1" x14ac:dyDescent="0.3">
      <c r="B52" s="17"/>
      <c r="C52" s="949"/>
      <c r="D52" s="17"/>
      <c r="E52" s="17"/>
      <c r="F52" s="17"/>
      <c r="G52" s="504" t="str">
        <f ca="1">VLOOKUP(RIGHT(G49,1)&amp;"3",$X$67:$Z$98,2)</f>
        <v>Hongarije</v>
      </c>
      <c r="H52" s="17"/>
      <c r="I52" s="17"/>
      <c r="J52" s="507" t="str">
        <f ca="1">VLOOKUP(RIGHT(J49,1)&amp;"3",$X$67:$Z$98,2)</f>
        <v>Italië</v>
      </c>
      <c r="K52" s="381"/>
      <c r="L52" s="381"/>
      <c r="M52" s="507" t="str">
        <f ca="1">VLOOKUP(RIGHT(M49,1)&amp;"3",$X$67:$Z$98,2)</f>
        <v>Servië</v>
      </c>
      <c r="N52" s="17"/>
      <c r="O52" s="17"/>
      <c r="P52" s="507" t="str">
        <f ca="1">VLOOKUP(RIGHT(P49,1)&amp;"3",$X$67:$Z$98,2)</f>
        <v>ZZZ_land_G3</v>
      </c>
      <c r="Q52" s="77"/>
      <c r="R52" s="17"/>
      <c r="S52" s="60"/>
      <c r="T52" s="17"/>
    </row>
    <row r="53" spans="2:20" ht="18.75" customHeight="1" x14ac:dyDescent="0.3">
      <c r="B53" s="17"/>
      <c r="C53" s="949"/>
      <c r="D53" s="17"/>
      <c r="E53" s="17"/>
      <c r="F53" s="17"/>
      <c r="G53" s="504" t="str">
        <f ca="1">VLOOKUP(RIGHT(G49,1)&amp;"4",$X$67:$Z$98,2)</f>
        <v>Zwitserland</v>
      </c>
      <c r="H53" s="17"/>
      <c r="I53" s="17"/>
      <c r="J53" s="507" t="str">
        <f ca="1">VLOOKUP(RIGHT(J49,1)&amp;"4",$X$67:$Z$98,2)</f>
        <v>Albanië</v>
      </c>
      <c r="K53" s="381"/>
      <c r="L53" s="381"/>
      <c r="M53" s="507" t="str">
        <f ca="1">VLOOKUP(RIGHT(M49,1)&amp;"4",$X$67:$Z$98,2)</f>
        <v>Engeland</v>
      </c>
      <c r="N53" s="17"/>
      <c r="O53" s="17"/>
      <c r="P53" s="507" t="str">
        <f ca="1">VLOOKUP(RIGHT(P49,1)&amp;"4",$X$67:$Z$98,2)</f>
        <v>ZZZ_land_G4</v>
      </c>
      <c r="Q53" s="77"/>
      <c r="R53" s="17"/>
      <c r="S53" s="60"/>
      <c r="T53" s="17"/>
    </row>
    <row r="54" spans="2:20" x14ac:dyDescent="0.25">
      <c r="B54" s="17"/>
      <c r="C54" s="949"/>
      <c r="D54" s="17"/>
      <c r="E54" s="17"/>
      <c r="F54" s="17"/>
      <c r="G54" s="17"/>
      <c r="H54" s="17"/>
      <c r="I54" s="17"/>
      <c r="J54" s="17"/>
      <c r="K54" s="17"/>
      <c r="L54" s="17"/>
      <c r="M54" s="17"/>
      <c r="N54" s="17"/>
      <c r="O54" s="17"/>
      <c r="P54" s="77"/>
      <c r="Q54" s="77"/>
      <c r="R54" s="17"/>
      <c r="S54" s="60"/>
      <c r="T54" s="17"/>
    </row>
    <row r="55" spans="2:20" ht="18.75" x14ac:dyDescent="0.3">
      <c r="B55" s="17"/>
      <c r="C55" s="949"/>
      <c r="D55" s="17"/>
      <c r="E55" s="17"/>
      <c r="F55" s="17"/>
      <c r="G55" s="503" t="str">
        <f ca="1">Taal02!$B$21</f>
        <v>Groep D</v>
      </c>
      <c r="H55" s="504"/>
      <c r="I55" s="504"/>
      <c r="J55" s="503" t="str">
        <f ca="1">Taal02!$B$26</f>
        <v>Groep E</v>
      </c>
      <c r="K55" s="17"/>
      <c r="L55" s="504"/>
      <c r="M55" s="503" t="str">
        <f ca="1">Taal02!$B$31</f>
        <v>Groep F</v>
      </c>
      <c r="N55" s="504"/>
      <c r="O55" s="504"/>
      <c r="P55" s="505" t="str">
        <f ca="1">Taal02!$B$41</f>
        <v>Groep H</v>
      </c>
      <c r="Q55" s="77"/>
      <c r="R55" s="17"/>
      <c r="S55" s="60"/>
      <c r="T55" s="17"/>
    </row>
    <row r="56" spans="2:20" ht="18.75" x14ac:dyDescent="0.3">
      <c r="B56" s="17"/>
      <c r="C56" s="949"/>
      <c r="D56" s="17"/>
      <c r="E56" s="17"/>
      <c r="F56" s="17"/>
      <c r="G56" s="504" t="str">
        <f ca="1">VLOOKUP(RIGHT(G55,1)&amp;"1",$X$67:$Z$98,2)</f>
        <v>Polen</v>
      </c>
      <c r="H56" s="504"/>
      <c r="I56" s="504"/>
      <c r="J56" s="504" t="str">
        <f ca="1">VLOOKUP(RIGHT(J55,1)&amp;"1",$X$67:$Z$98,2)</f>
        <v>België</v>
      </c>
      <c r="K56" s="504"/>
      <c r="L56" s="504"/>
      <c r="M56" s="504" t="str">
        <f ca="1">VLOOKUP(RIGHT(M55,1)&amp;"1",$X$67:$Z$98,2)</f>
        <v>Turkije</v>
      </c>
      <c r="N56" s="504"/>
      <c r="O56" s="504"/>
      <c r="P56" s="507" t="str">
        <f ca="1">VLOOKUP(RIGHT(P55,1)&amp;"1",$X$67:$Z$98,2)</f>
        <v>ZZZ_land_H1</v>
      </c>
      <c r="Q56" s="77"/>
      <c r="R56" s="17"/>
      <c r="S56" s="60"/>
      <c r="T56" s="17"/>
    </row>
    <row r="57" spans="2:20" ht="18.75" x14ac:dyDescent="0.3">
      <c r="B57" s="17"/>
      <c r="C57" s="949"/>
      <c r="D57" s="17"/>
      <c r="E57" s="17"/>
      <c r="F57" s="17"/>
      <c r="G57" s="504" t="str">
        <f ca="1">VLOOKUP(RIGHT(G55,1)&amp;"2",$X$67:$Z$98,2)</f>
        <v>Nederland</v>
      </c>
      <c r="H57" s="504"/>
      <c r="I57" s="504"/>
      <c r="J57" s="504" t="str">
        <f ca="1">VLOOKUP(RIGHT(J55,1)&amp;"2",$X$67:$Z$98,2)</f>
        <v>Slowakije</v>
      </c>
      <c r="K57" s="504"/>
      <c r="L57" s="504"/>
      <c r="M57" s="504" t="str">
        <f ca="1">VLOOKUP(RIGHT(M55,1)&amp;"2",$X$67:$Z$98,2)</f>
        <v>Georgië</v>
      </c>
      <c r="N57" s="504"/>
      <c r="O57" s="504"/>
      <c r="P57" s="507" t="str">
        <f ca="1">VLOOKUP(RIGHT(P55,1)&amp;"2",$X$67:$Z$98,2)</f>
        <v>ZZZ_land_H2</v>
      </c>
      <c r="Q57" s="77"/>
      <c r="R57" s="17"/>
      <c r="S57" s="60"/>
      <c r="T57" s="17"/>
    </row>
    <row r="58" spans="2:20" ht="18.75" x14ac:dyDescent="0.3">
      <c r="B58" s="17"/>
      <c r="C58" s="949"/>
      <c r="D58" s="17"/>
      <c r="E58" s="17"/>
      <c r="F58" s="17"/>
      <c r="G58" s="504" t="str">
        <f ca="1">VLOOKUP(RIGHT(G55,1)&amp;"3",$X$67:$Z$98,2)</f>
        <v>Oostenrijk</v>
      </c>
      <c r="H58" s="504"/>
      <c r="I58" s="504"/>
      <c r="J58" s="504" t="str">
        <f ca="1">VLOOKUP(RIGHT(J55,1)&amp;"3",$X$67:$Z$98,2)</f>
        <v>Roemenië</v>
      </c>
      <c r="K58" s="504"/>
      <c r="L58" s="504"/>
      <c r="M58" s="504" t="str">
        <f ca="1">VLOOKUP(RIGHT(M55,1)&amp;"3",$X$67:$Z$98,2)</f>
        <v>Portugal</v>
      </c>
      <c r="N58" s="504"/>
      <c r="O58" s="504"/>
      <c r="P58" s="507" t="str">
        <f ca="1">VLOOKUP(RIGHT(P55,1)&amp;"3",$X$67:$Z$98,2)</f>
        <v>ZZZ_land_H3</v>
      </c>
      <c r="Q58" s="77"/>
      <c r="R58" s="17"/>
      <c r="S58" s="60"/>
      <c r="T58" s="17"/>
    </row>
    <row r="59" spans="2:20" ht="18.75" x14ac:dyDescent="0.3">
      <c r="B59" s="17"/>
      <c r="C59" s="949"/>
      <c r="D59" s="17"/>
      <c r="E59" s="17"/>
      <c r="F59" s="17"/>
      <c r="G59" s="504" t="str">
        <f ca="1">VLOOKUP(RIGHT(G55,1)&amp;"4",$X$67:$Z$98,2)</f>
        <v>Frankrijk</v>
      </c>
      <c r="H59" s="504"/>
      <c r="I59" s="504"/>
      <c r="J59" s="504" t="str">
        <f ca="1">VLOOKUP(RIGHT(J55,1)&amp;"4",$X$67:$Z$98,2)</f>
        <v>Oekraïne</v>
      </c>
      <c r="K59" s="504"/>
      <c r="L59" s="504"/>
      <c r="M59" s="504" t="str">
        <f ca="1">VLOOKUP(RIGHT(M55,1)&amp;"4",$X$67:$Z$98,2)</f>
        <v>Tsjechië</v>
      </c>
      <c r="N59" s="504"/>
      <c r="O59" s="504"/>
      <c r="P59" s="507" t="str">
        <f ca="1">VLOOKUP(RIGHT(P55,1)&amp;"4",$X$67:$Z$98,2)</f>
        <v>ZZZ_land_H4</v>
      </c>
      <c r="Q59" s="77"/>
      <c r="R59" s="17"/>
      <c r="S59" s="60"/>
      <c r="T59" s="17"/>
    </row>
    <row r="60" spans="2:20" ht="18.75" x14ac:dyDescent="0.3">
      <c r="B60" s="17"/>
      <c r="C60" s="950"/>
      <c r="D60" s="107"/>
      <c r="E60" s="107"/>
      <c r="F60" s="107"/>
      <c r="G60" s="95"/>
      <c r="H60" s="95"/>
      <c r="I60" s="95"/>
      <c r="J60" s="95"/>
      <c r="K60" s="95"/>
      <c r="L60" s="95"/>
      <c r="M60" s="107"/>
      <c r="N60" s="95"/>
      <c r="O60" s="107"/>
      <c r="P60" s="107"/>
      <c r="Q60" s="107"/>
      <c r="R60" s="107"/>
      <c r="S60" s="952"/>
      <c r="T60" s="17"/>
    </row>
    <row r="61" spans="2:20" x14ac:dyDescent="0.25">
      <c r="B61" s="17"/>
      <c r="C61" s="17"/>
      <c r="D61" s="17"/>
      <c r="E61" s="17"/>
      <c r="F61" s="17"/>
      <c r="G61" s="17"/>
      <c r="H61" s="17"/>
      <c r="I61" s="17"/>
      <c r="J61" s="17"/>
      <c r="K61" s="17"/>
      <c r="L61" s="17"/>
      <c r="M61" s="17"/>
      <c r="N61" s="17"/>
      <c r="O61" s="17"/>
      <c r="P61" s="17"/>
      <c r="Q61" s="17"/>
      <c r="R61" s="17"/>
      <c r="S61" s="17"/>
      <c r="T61" s="17"/>
    </row>
    <row r="62" spans="2:20" x14ac:dyDescent="0.25">
      <c r="B62" s="17"/>
      <c r="C62" s="974"/>
      <c r="D62" s="975" t="str">
        <f>Reglement!D71&amp;IF(AND(OR(S65="a",S65="b",S65="c"),ISNUMBER(P67)),"   ("&amp;P67&amp;" "&amp;LOWER(Taal01!$B$33)&amp;")","")</f>
        <v>www.excel-pool.nl</v>
      </c>
      <c r="E62" s="976"/>
      <c r="F62" s="976"/>
      <c r="G62" s="976"/>
      <c r="H62" s="976"/>
      <c r="I62" s="976"/>
      <c r="J62" s="976"/>
      <c r="K62" s="976"/>
      <c r="L62" s="976"/>
      <c r="M62" s="976"/>
      <c r="N62" s="976"/>
      <c r="O62" s="976"/>
      <c r="P62" s="976"/>
      <c r="Q62" s="976"/>
      <c r="R62" s="977" t="str">
        <f>Reglement!M71</f>
        <v>©2024 Eric de Jong v24.00dh</v>
      </c>
      <c r="S62" s="978"/>
      <c r="T62" s="17"/>
    </row>
    <row r="63" spans="2:20" x14ac:dyDescent="0.25">
      <c r="B63" s="17"/>
      <c r="C63" s="17"/>
      <c r="D63" s="17"/>
      <c r="E63" s="17"/>
      <c r="F63" s="17"/>
      <c r="G63" s="17"/>
      <c r="H63" s="17"/>
      <c r="I63" s="17"/>
      <c r="J63" s="17"/>
      <c r="K63" s="17"/>
      <c r="L63" s="17"/>
      <c r="M63" s="17"/>
      <c r="N63" s="17"/>
      <c r="O63" s="17"/>
      <c r="P63" s="17"/>
      <c r="Q63" s="17"/>
      <c r="R63" s="17"/>
      <c r="S63" s="17"/>
      <c r="T63" s="17"/>
    </row>
    <row r="65" spans="2:33" hidden="1" x14ac:dyDescent="0.25">
      <c r="B65" s="238" t="s">
        <v>258</v>
      </c>
      <c r="C65" s="37"/>
      <c r="D65" s="37"/>
      <c r="E65" s="37"/>
      <c r="F65" s="37"/>
      <c r="G65" s="239" t="s">
        <v>16</v>
      </c>
      <c r="H65" s="823" t="s">
        <v>2456</v>
      </c>
      <c r="I65" s="1051" t="s">
        <v>2457</v>
      </c>
      <c r="J65" s="1051"/>
      <c r="K65" s="37"/>
      <c r="L65" s="37"/>
      <c r="M65" s="37"/>
      <c r="N65" s="37"/>
      <c r="O65" s="240" t="s">
        <v>97</v>
      </c>
      <c r="P65" s="241" t="str">
        <f>IF(LEN(S65)=2,LEFT(RIGHT(R62,7),5),LEFT(RIGHT(R62,6),5))</f>
        <v>24.00</v>
      </c>
      <c r="Q65" s="23"/>
      <c r="R65" s="240" t="s">
        <v>91</v>
      </c>
      <c r="S65" s="242" t="str">
        <f>IF(TYPE(LEFT(RIGHT(R62,2),1)*1)=1,RIGHT(R62,1),RIGHT(R62,2))</f>
        <v>dh</v>
      </c>
      <c r="T65" s="37"/>
      <c r="U65" s="48"/>
      <c r="V65" s="48"/>
      <c r="W65" s="48"/>
      <c r="X65" s="616" t="s">
        <v>66</v>
      </c>
      <c r="Y65" s="595" t="s">
        <v>141</v>
      </c>
      <c r="Z65" s="595" t="s">
        <v>142</v>
      </c>
      <c r="AA65" s="599" t="str">
        <f>X65</f>
        <v>CODE</v>
      </c>
      <c r="AB65" s="358" t="str">
        <f t="shared" ref="AB65:AF65" si="0">Y65</f>
        <v>LAND</v>
      </c>
      <c r="AC65" s="597" t="str">
        <f t="shared" si="0"/>
        <v>AFKORTING</v>
      </c>
      <c r="AD65" s="274" t="str">
        <f t="shared" si="0"/>
        <v>CODE</v>
      </c>
      <c r="AE65" s="274" t="str">
        <f t="shared" si="0"/>
        <v>LAND</v>
      </c>
      <c r="AF65" s="358" t="str">
        <f t="shared" si="0"/>
        <v>AFKORTING</v>
      </c>
      <c r="AG65" s="274" t="str">
        <f>Y65</f>
        <v>LAND</v>
      </c>
    </row>
    <row r="66" spans="2:33" hidden="1" x14ac:dyDescent="0.25">
      <c r="B66" s="238" t="s">
        <v>259</v>
      </c>
      <c r="C66" s="37"/>
      <c r="D66" s="37"/>
      <c r="E66" s="37"/>
      <c r="F66" s="37"/>
      <c r="G66" s="239" t="s">
        <v>16</v>
      </c>
      <c r="H66" s="241" t="s">
        <v>388</v>
      </c>
      <c r="I66" s="617" t="s">
        <v>387</v>
      </c>
      <c r="J66" s="37"/>
      <c r="K66" s="37"/>
      <c r="L66" s="37"/>
      <c r="M66" s="37"/>
      <c r="N66" s="37"/>
      <c r="O66" s="240" t="s">
        <v>104</v>
      </c>
      <c r="P66" s="37" t="str">
        <f>IF(Reglement!Q81=1,"JA","NEE")</f>
        <v>JA</v>
      </c>
      <c r="Q66" s="37"/>
      <c r="R66" s="240"/>
      <c r="S66" s="242"/>
      <c r="T66" s="37"/>
      <c r="U66" s="48"/>
      <c r="V66" s="579"/>
      <c r="W66" s="580">
        <f>LOOKUP(W7,W67:W76,V67:V76)</f>
        <v>1</v>
      </c>
      <c r="X66" s="616"/>
      <c r="Y66" s="595"/>
      <c r="Z66" s="595"/>
      <c r="AA66" s="600"/>
      <c r="AB66" s="358"/>
      <c r="AC66" s="598"/>
      <c r="AD66" s="48"/>
      <c r="AE66" s="275"/>
      <c r="AF66" s="358"/>
      <c r="AG66" s="275"/>
    </row>
    <row r="67" spans="2:33" hidden="1" x14ac:dyDescent="0.25">
      <c r="B67" s="238" t="s">
        <v>260</v>
      </c>
      <c r="C67" s="37"/>
      <c r="D67" s="37"/>
      <c r="E67" s="37"/>
      <c r="F67" s="37"/>
      <c r="G67" s="239" t="s">
        <v>16</v>
      </c>
      <c r="H67" s="243"/>
      <c r="I67" s="37"/>
      <c r="J67" s="37"/>
      <c r="K67" s="37"/>
      <c r="L67" s="37"/>
      <c r="M67" s="37"/>
      <c r="N67" s="37"/>
      <c r="O67" s="240" t="s">
        <v>101</v>
      </c>
      <c r="P67" s="423" t="s">
        <v>441</v>
      </c>
      <c r="Q67" s="37"/>
      <c r="R67" s="37"/>
      <c r="S67" s="37"/>
      <c r="T67" s="37"/>
      <c r="U67" s="48"/>
      <c r="V67" s="578">
        <v>1</v>
      </c>
      <c r="W67" s="578" t="str">
        <f>Taal01!B62</f>
        <v>Dutch</v>
      </c>
      <c r="X67" s="616" t="s">
        <v>109</v>
      </c>
      <c r="Y67" s="595" t="str">
        <f ca="1">Taal02!$B$7</f>
        <v>Duitsland</v>
      </c>
      <c r="Z67" s="595" t="s">
        <v>6</v>
      </c>
      <c r="AA67" s="600" t="str">
        <f ca="1">RIGHT(LEFT(Taal02!$B$48,(ROW()-66)*2),2)</f>
        <v>B4</v>
      </c>
      <c r="AB67" s="358" t="str">
        <f t="shared" ref="AB67:AB98" ca="1" si="1">VLOOKUP($AA67,$X$67:$Z$98,2)</f>
        <v>Albanië</v>
      </c>
      <c r="AC67" s="598" t="str">
        <f ca="1">VLOOKUP($AA67,$X$67:$Z$98,3)</f>
        <v>AL</v>
      </c>
      <c r="AD67" s="275" t="s">
        <v>116</v>
      </c>
      <c r="AE67" s="275" t="str">
        <f t="shared" ref="AE67:AE98" ca="1" si="2">VLOOKUP($AD67,$X$67:$Z$98,2)</f>
        <v>Albanië</v>
      </c>
      <c r="AF67" s="358" t="str">
        <f>VLOOKUP($AD67,$X$67:$Z$98,3)</f>
        <v>AL</v>
      </c>
      <c r="AG67" s="275" t="str">
        <f ca="1">AE67</f>
        <v>Albanië</v>
      </c>
    </row>
    <row r="68" spans="2:33" hidden="1" x14ac:dyDescent="0.25">
      <c r="B68" s="37"/>
      <c r="C68" s="37"/>
      <c r="D68" s="37"/>
      <c r="E68" s="37"/>
      <c r="F68" s="37"/>
      <c r="G68" s="37"/>
      <c r="H68" s="592" t="s">
        <v>849</v>
      </c>
      <c r="I68" s="37"/>
      <c r="J68" s="37"/>
      <c r="K68" s="37"/>
      <c r="L68" s="37"/>
      <c r="M68" s="37"/>
      <c r="N68" s="37"/>
      <c r="O68" s="240" t="s">
        <v>443</v>
      </c>
      <c r="P68" s="360" t="str">
        <f>IF(ISNUMBER($P$67),FLOOR(($P$67-1)/10,1),"nvt")</f>
        <v>nvt</v>
      </c>
      <c r="Q68" s="37"/>
      <c r="R68" s="37"/>
      <c r="S68" s="37"/>
      <c r="T68" s="37"/>
      <c r="U68" s="48"/>
      <c r="V68" s="578">
        <v>2</v>
      </c>
      <c r="W68" s="578" t="str">
        <f>Taal01!B63</f>
        <v>English</v>
      </c>
      <c r="X68" s="616" t="s">
        <v>110</v>
      </c>
      <c r="Y68" s="595" t="str">
        <f ca="1">Taal02!$B$8</f>
        <v>Schotland</v>
      </c>
      <c r="Z68" s="595" t="s">
        <v>2373</v>
      </c>
      <c r="AA68" s="600" t="str">
        <f ca="1">RIGHT(LEFT(Taal02!$B$48,(ROW()-66)*2),2)</f>
        <v>E1</v>
      </c>
      <c r="AB68" s="358" t="str">
        <f t="shared" ca="1" si="1"/>
        <v>België</v>
      </c>
      <c r="AC68" s="598" t="str">
        <f t="shared" ref="AC68:AC98" ca="1" si="3">VLOOKUP($AA68,$X$67:$Z$98,3)</f>
        <v>BE</v>
      </c>
      <c r="AD68" s="275" t="s">
        <v>122</v>
      </c>
      <c r="AE68" s="275" t="str">
        <f t="shared" ca="1" si="2"/>
        <v>Oostenrijk</v>
      </c>
      <c r="AF68" s="358" t="str">
        <f t="shared" ref="AF68:AF98" si="4">VLOOKUP($AD68,$X$67:$Z$98,3)</f>
        <v>AT</v>
      </c>
      <c r="AG68" s="275" t="str">
        <f t="shared" ref="AG68:AG98" ca="1" si="5">AE68</f>
        <v>Oostenrijk</v>
      </c>
    </row>
    <row r="69" spans="2:33" hidden="1" x14ac:dyDescent="0.25">
      <c r="B69" s="238" t="s">
        <v>386</v>
      </c>
      <c r="C69" s="37"/>
      <c r="D69" s="37"/>
      <c r="E69" s="37"/>
      <c r="F69" s="37"/>
      <c r="G69" s="239" t="s">
        <v>16</v>
      </c>
      <c r="H69" s="360" t="str">
        <f>IF(OR($S$65="a",$S$65="b",$S$65="c"),IF(AND($P$66="JA",Reglement!N81=0),"NEE","JA"),"n.v.t.")</f>
        <v>n.v.t.</v>
      </c>
      <c r="I69" s="37"/>
      <c r="J69" s="37"/>
      <c r="K69" s="37"/>
      <c r="L69" s="37"/>
      <c r="M69" s="37"/>
      <c r="N69" s="37"/>
      <c r="O69" s="240" t="s">
        <v>442</v>
      </c>
      <c r="P69" s="360" t="str">
        <f>IF(ISNUMBER($P$67),41,"nvt")</f>
        <v>nvt</v>
      </c>
      <c r="Q69" s="37"/>
      <c r="R69" s="37"/>
      <c r="S69" s="37"/>
      <c r="T69" s="37"/>
      <c r="U69" s="48"/>
      <c r="V69" s="578">
        <v>3</v>
      </c>
      <c r="W69" s="578" t="str">
        <f>Taal01!B64</f>
        <v>German (under development)</v>
      </c>
      <c r="X69" s="616" t="s">
        <v>111</v>
      </c>
      <c r="Y69" s="595" t="str">
        <f ca="1">Taal02!$B$9</f>
        <v>Hongarije</v>
      </c>
      <c r="Z69" s="595" t="s">
        <v>2374</v>
      </c>
      <c r="AA69" s="600" t="str">
        <f ca="1">RIGHT(LEFT(Taal02!$B$48,(ROW()-66)*2),2)</f>
        <v>C2</v>
      </c>
      <c r="AB69" s="358" t="str">
        <f t="shared" ca="1" si="1"/>
        <v>Denemarken</v>
      </c>
      <c r="AC69" s="598" t="str">
        <f t="shared" ca="1" si="3"/>
        <v>DK</v>
      </c>
      <c r="AD69" s="275" t="s">
        <v>124</v>
      </c>
      <c r="AE69" s="275" t="str">
        <f t="shared" ca="1" si="2"/>
        <v>België</v>
      </c>
      <c r="AF69" s="358" t="str">
        <f t="shared" si="4"/>
        <v>BE</v>
      </c>
      <c r="AG69" s="275" t="str">
        <f t="shared" ca="1" si="5"/>
        <v>België</v>
      </c>
    </row>
    <row r="70" spans="2:33" hidden="1" x14ac:dyDescent="0.25">
      <c r="B70" s="238" t="s">
        <v>255</v>
      </c>
      <c r="C70" s="37"/>
      <c r="D70" s="37"/>
      <c r="E70" s="37"/>
      <c r="F70" s="37"/>
      <c r="G70" s="239" t="s">
        <v>16</v>
      </c>
      <c r="H70" s="37" t="str">
        <f>IF(OR($S$65="a",$S$65="b",$S$65="c"),IF(AND($P$66="JA",Reglement!G123="##"),"NEE","JA"),"n.v.t.")</f>
        <v>n.v.t.</v>
      </c>
      <c r="I70" s="37"/>
      <c r="J70" s="37"/>
      <c r="K70" s="37"/>
      <c r="L70" s="37"/>
      <c r="M70" s="37"/>
      <c r="N70" s="37"/>
      <c r="O70" s="240" t="s">
        <v>444</v>
      </c>
      <c r="P70" s="360" t="str">
        <f>IF(ISNUMBER($P$67),$P$67+$P$68+$P$69-1,"nvt")</f>
        <v>nvt</v>
      </c>
      <c r="Q70" s="37"/>
      <c r="R70" s="37"/>
      <c r="S70" s="37"/>
      <c r="T70" s="37"/>
      <c r="U70" s="48"/>
      <c r="V70" s="578">
        <v>4</v>
      </c>
      <c r="W70" s="578" t="str">
        <f>Taal01!B65</f>
        <v>Swedish (under development)</v>
      </c>
      <c r="X70" s="616" t="s">
        <v>112</v>
      </c>
      <c r="Y70" s="595" t="str">
        <f ca="1">Taal02!$B$10</f>
        <v>Zwitserland</v>
      </c>
      <c r="Z70" s="595" t="s">
        <v>473</v>
      </c>
      <c r="AA70" s="600" t="str">
        <f ca="1">RIGHT(LEFT(Taal02!$B$48,(ROW()-66)*2),2)</f>
        <v>A1</v>
      </c>
      <c r="AB70" s="358" t="str">
        <f t="shared" ca="1" si="1"/>
        <v>Duitsland</v>
      </c>
      <c r="AC70" s="598" t="str">
        <f t="shared" ca="1" si="3"/>
        <v>DE</v>
      </c>
      <c r="AD70" s="275" t="s">
        <v>112</v>
      </c>
      <c r="AE70" s="275" t="str">
        <f t="shared" ca="1" si="2"/>
        <v>Zwitserland</v>
      </c>
      <c r="AF70" s="358" t="str">
        <f t="shared" si="4"/>
        <v>CH</v>
      </c>
      <c r="AG70" s="275" t="str">
        <f t="shared" ca="1" si="5"/>
        <v>Zwitserland</v>
      </c>
    </row>
    <row r="71" spans="2:33" hidden="1" x14ac:dyDescent="0.25">
      <c r="B71" s="238" t="s">
        <v>99</v>
      </c>
      <c r="C71" s="37"/>
      <c r="D71" s="37"/>
      <c r="E71" s="37"/>
      <c r="F71" s="37"/>
      <c r="G71" s="239" t="s">
        <v>16</v>
      </c>
      <c r="H71" s="37" t="str">
        <f>IF(OR($S$65="a",$S$65="b",$S$65="c"),IF(AND($P$66="JA",Reglement!S87="NEE"),"NEE","JA"),"n.v.t.")</f>
        <v>n.v.t.</v>
      </c>
      <c r="I71" s="37"/>
      <c r="J71" s="37"/>
      <c r="K71" s="37"/>
      <c r="L71" s="37"/>
      <c r="M71" s="37"/>
      <c r="N71" s="37"/>
      <c r="O71" s="240" t="s">
        <v>440</v>
      </c>
      <c r="P71" s="360" t="str">
        <f>IF(ISNUMBER($P$67),$P$70+IF(RIGHT(P67,1)*1=0,4,3),"nvt")</f>
        <v>nvt</v>
      </c>
      <c r="Q71" s="37"/>
      <c r="R71" s="37"/>
      <c r="S71" s="37"/>
      <c r="T71" s="37"/>
      <c r="U71" s="48"/>
      <c r="V71" s="578">
        <v>5</v>
      </c>
      <c r="W71" s="578"/>
      <c r="X71" s="616" t="s">
        <v>113</v>
      </c>
      <c r="Y71" s="595" t="str">
        <f ca="1">Taal02!$B$12</f>
        <v>Spanje</v>
      </c>
      <c r="Z71" s="595" t="s">
        <v>471</v>
      </c>
      <c r="AA71" s="600" t="str">
        <f ca="1">RIGHT(LEFT(Taal02!$B$48,(ROW()-66)*2),2)</f>
        <v>C4</v>
      </c>
      <c r="AB71" s="358" t="str">
        <f t="shared" ca="1" si="1"/>
        <v>Engeland</v>
      </c>
      <c r="AC71" s="598" t="str">
        <f t="shared" ca="1" si="3"/>
        <v>GB</v>
      </c>
      <c r="AD71" s="275" t="s">
        <v>132</v>
      </c>
      <c r="AE71" s="275" t="str">
        <f t="shared" ca="1" si="2"/>
        <v>Tsjechië</v>
      </c>
      <c r="AF71" s="358" t="str">
        <f t="shared" si="4"/>
        <v>CZ</v>
      </c>
      <c r="AG71" s="275" t="str">
        <f t="shared" ca="1" si="5"/>
        <v>Tsjechië</v>
      </c>
    </row>
    <row r="72" spans="2:33" hidden="1" x14ac:dyDescent="0.25">
      <c r="B72" s="37"/>
      <c r="C72" s="37"/>
      <c r="D72" s="37"/>
      <c r="E72" s="37"/>
      <c r="F72" s="37"/>
      <c r="G72" s="37"/>
      <c r="H72" s="37"/>
      <c r="I72" s="37"/>
      <c r="J72" s="37"/>
      <c r="K72" s="37"/>
      <c r="L72" s="37"/>
      <c r="M72" s="37"/>
      <c r="N72" s="37"/>
      <c r="O72" s="240" t="s">
        <v>871</v>
      </c>
      <c r="P72" s="606">
        <f>Reglement!$G$140</f>
        <v>2</v>
      </c>
      <c r="Q72" s="1053" t="str">
        <f>IF(P72=0,Taal01!B17,IF(P72=1,Taal01!B18,IF(P72=3,Taal01!B19,"")))</f>
        <v/>
      </c>
      <c r="R72" s="1053"/>
      <c r="S72" s="1053"/>
      <c r="T72" s="1053"/>
      <c r="U72" s="48"/>
      <c r="V72" s="578">
        <v>6</v>
      </c>
      <c r="W72" s="578"/>
      <c r="X72" s="616" t="s">
        <v>114</v>
      </c>
      <c r="Y72" s="595" t="str">
        <f ca="1">Taal02!$B$13</f>
        <v>Kroatië</v>
      </c>
      <c r="Z72" s="595" t="s">
        <v>470</v>
      </c>
      <c r="AA72" s="600" t="str">
        <f ca="1">RIGHT(LEFT(Taal02!$B$48,(ROW()-66)*2),2)</f>
        <v>D4</v>
      </c>
      <c r="AB72" s="358" t="str">
        <f t="shared" ca="1" si="1"/>
        <v>Frankrijk</v>
      </c>
      <c r="AC72" s="598" t="str">
        <f t="shared" ca="1" si="3"/>
        <v>FR</v>
      </c>
      <c r="AD72" s="275" t="s">
        <v>109</v>
      </c>
      <c r="AE72" s="275" t="str">
        <f t="shared" ca="1" si="2"/>
        <v>Duitsland</v>
      </c>
      <c r="AF72" s="358" t="str">
        <f t="shared" si="4"/>
        <v>DE</v>
      </c>
      <c r="AG72" s="275" t="str">
        <f t="shared" ca="1" si="5"/>
        <v>Duitsland</v>
      </c>
    </row>
    <row r="73" spans="2:33" hidden="1" x14ac:dyDescent="0.25">
      <c r="B73" s="996" t="s">
        <v>2463</v>
      </c>
      <c r="C73" s="244"/>
      <c r="D73" s="244"/>
      <c r="E73" s="244"/>
      <c r="F73" s="244"/>
      <c r="G73" s="244"/>
      <c r="H73" s="244"/>
      <c r="I73" s="997"/>
      <c r="J73" s="1054">
        <v>0</v>
      </c>
      <c r="K73" s="1055"/>
      <c r="L73" s="244"/>
      <c r="M73" s="244"/>
      <c r="N73" s="244"/>
      <c r="O73" s="244"/>
      <c r="P73" s="244"/>
      <c r="Q73" s="244"/>
      <c r="R73" s="244"/>
      <c r="S73" s="244"/>
      <c r="T73" s="244"/>
      <c r="U73" s="48"/>
      <c r="V73" s="578">
        <v>7</v>
      </c>
      <c r="W73" s="578"/>
      <c r="X73" s="616" t="s">
        <v>115</v>
      </c>
      <c r="Y73" s="595" t="str">
        <f ca="1">Taal02!$B$14</f>
        <v>Italië</v>
      </c>
      <c r="Z73" s="595" t="s">
        <v>2375</v>
      </c>
      <c r="AA73" s="600" t="str">
        <f ca="1">RIGHT(LEFT(Taal02!$B$48,(ROW()-66)*2),2)</f>
        <v>F2</v>
      </c>
      <c r="AB73" s="358" t="str">
        <f t="shared" ca="1" si="1"/>
        <v>Georgië</v>
      </c>
      <c r="AC73" s="598" t="str">
        <f t="shared" ca="1" si="3"/>
        <v>GE</v>
      </c>
      <c r="AD73" s="275" t="s">
        <v>118</v>
      </c>
      <c r="AE73" s="275" t="str">
        <f t="shared" ca="1" si="2"/>
        <v>Denemarken</v>
      </c>
      <c r="AF73" s="358" t="str">
        <f t="shared" si="4"/>
        <v>DK</v>
      </c>
      <c r="AG73" s="275" t="str">
        <f t="shared" ca="1" si="5"/>
        <v>Denemarken</v>
      </c>
    </row>
    <row r="74" spans="2:33" hidden="1" x14ac:dyDescent="0.25">
      <c r="B74" s="998" t="s">
        <v>2464</v>
      </c>
      <c r="C74" s="245"/>
      <c r="D74" s="245"/>
      <c r="E74" s="245"/>
      <c r="F74" s="245"/>
      <c r="G74" s="245"/>
      <c r="H74" s="245"/>
      <c r="I74" s="245"/>
      <c r="J74" s="1056" t="s">
        <v>2465</v>
      </c>
      <c r="K74" s="1056"/>
      <c r="L74" s="245"/>
      <c r="M74" s="245"/>
      <c r="N74" s="245"/>
      <c r="O74" s="245"/>
      <c r="P74" s="245"/>
      <c r="Q74" s="245"/>
      <c r="R74" s="245"/>
      <c r="S74" s="245"/>
      <c r="T74" s="245"/>
      <c r="U74" s="48"/>
      <c r="V74" s="578">
        <v>8</v>
      </c>
      <c r="W74" s="578"/>
      <c r="X74" s="616" t="s">
        <v>116</v>
      </c>
      <c r="Y74" s="595" t="str">
        <f ca="1">Taal02!$B$15</f>
        <v>Albanië</v>
      </c>
      <c r="Z74" s="595" t="s">
        <v>2376</v>
      </c>
      <c r="AA74" s="600" t="str">
        <f ca="1">RIGHT(LEFT(Taal02!$B$48,(ROW()-66)*2),2)</f>
        <v>A3</v>
      </c>
      <c r="AB74" s="358" t="str">
        <f t="shared" ca="1" si="1"/>
        <v>Hongarije</v>
      </c>
      <c r="AC74" s="598" t="str">
        <f t="shared" ca="1" si="3"/>
        <v>HU</v>
      </c>
      <c r="AD74" s="275" t="s">
        <v>113</v>
      </c>
      <c r="AE74" s="275" t="str">
        <f t="shared" ca="1" si="2"/>
        <v>Spanje</v>
      </c>
      <c r="AF74" s="358" t="str">
        <f t="shared" si="4"/>
        <v>ES</v>
      </c>
      <c r="AG74" s="275" t="str">
        <f t="shared" ca="1" si="5"/>
        <v>Spanje</v>
      </c>
    </row>
    <row r="75" spans="2:33" hidden="1" x14ac:dyDescent="0.25">
      <c r="B75" s="246"/>
      <c r="C75" s="246"/>
      <c r="D75" s="246"/>
      <c r="E75" s="246"/>
      <c r="F75" s="246"/>
      <c r="G75" s="246"/>
      <c r="H75" s="246"/>
      <c r="I75" s="246"/>
      <c r="J75" s="246"/>
      <c r="K75" s="246"/>
      <c r="L75" s="246"/>
      <c r="M75" s="246"/>
      <c r="N75" s="246"/>
      <c r="O75" s="246"/>
      <c r="P75" s="246"/>
      <c r="Q75" s="246"/>
      <c r="R75" s="246"/>
      <c r="S75" s="246"/>
      <c r="T75" s="246"/>
      <c r="U75" s="48"/>
      <c r="V75" s="578">
        <v>9</v>
      </c>
      <c r="W75" s="578"/>
      <c r="X75" s="616" t="s">
        <v>117</v>
      </c>
      <c r="Y75" s="595" t="str">
        <f ca="1">Taal02!$B$17</f>
        <v>Slovenië</v>
      </c>
      <c r="Z75" s="595" t="s">
        <v>2377</v>
      </c>
      <c r="AA75" s="600" t="str">
        <f ca="1">RIGHT(LEFT(Taal02!$B$48,(ROW()-66)*2),2)</f>
        <v>B3</v>
      </c>
      <c r="AB75" s="358" t="str">
        <f t="shared" ca="1" si="1"/>
        <v>Italië</v>
      </c>
      <c r="AC75" s="598" t="str">
        <f t="shared" ca="1" si="3"/>
        <v>IT</v>
      </c>
      <c r="AD75" s="275" t="s">
        <v>123</v>
      </c>
      <c r="AE75" s="275" t="str">
        <f t="shared" ca="1" si="2"/>
        <v>Frankrijk</v>
      </c>
      <c r="AF75" s="358" t="str">
        <f t="shared" si="4"/>
        <v>FR</v>
      </c>
      <c r="AG75" s="275" t="str">
        <f t="shared" ca="1" si="5"/>
        <v>Frankrijk</v>
      </c>
    </row>
    <row r="76" spans="2:33" hidden="1" x14ac:dyDescent="0.25">
      <c r="B76" s="247"/>
      <c r="C76" s="247"/>
      <c r="D76" s="247"/>
      <c r="E76" s="247"/>
      <c r="F76" s="247"/>
      <c r="G76" s="247"/>
      <c r="H76" s="247"/>
      <c r="I76" s="247"/>
      <c r="J76" s="247"/>
      <c r="K76" s="247"/>
      <c r="L76" s="247"/>
      <c r="M76" s="247"/>
      <c r="N76" s="247"/>
      <c r="O76" s="247"/>
      <c r="P76" s="247"/>
      <c r="Q76" s="247"/>
      <c r="R76" s="247"/>
      <c r="S76" s="247"/>
      <c r="T76" s="247"/>
      <c r="U76" s="48"/>
      <c r="V76" s="578">
        <v>10</v>
      </c>
      <c r="W76" s="578"/>
      <c r="X76" s="616" t="s">
        <v>118</v>
      </c>
      <c r="Y76" s="595" t="str">
        <f ca="1">Taal02!$B$18</f>
        <v>Denemarken</v>
      </c>
      <c r="Z76" s="595" t="s">
        <v>469</v>
      </c>
      <c r="AA76" s="600" t="str">
        <f ca="1">RIGHT(LEFT(Taal02!$B$48,(ROW()-66)*2),2)</f>
        <v>B2</v>
      </c>
      <c r="AB76" s="358" t="str">
        <f t="shared" ca="1" si="1"/>
        <v>Kroatië</v>
      </c>
      <c r="AC76" s="598" t="str">
        <f t="shared" ca="1" si="3"/>
        <v>HR</v>
      </c>
      <c r="AD76" s="275" t="s">
        <v>128</v>
      </c>
      <c r="AE76" s="275" t="str">
        <f t="shared" ca="1" si="2"/>
        <v>Engeland</v>
      </c>
      <c r="AF76" s="358" t="str">
        <f t="shared" si="4"/>
        <v>GB</v>
      </c>
      <c r="AG76" s="275" t="str">
        <f t="shared" ca="1" si="5"/>
        <v>Engeland</v>
      </c>
    </row>
    <row r="77" spans="2:33" hidden="1" x14ac:dyDescent="0.25">
      <c r="B77" s="5"/>
      <c r="C77" s="5" t="str">
        <f ca="1">UPPER(Taal01!$B$6&amp;" ("&amp;Taal01!$B$7&amp;")")</f>
        <v>EURO 2024 (DUITSLAND)</v>
      </c>
      <c r="D77" s="5"/>
      <c r="E77" s="5"/>
      <c r="F77" s="5"/>
      <c r="G77" s="5"/>
      <c r="H77" s="5"/>
      <c r="I77" s="5"/>
      <c r="J77" s="5"/>
      <c r="K77" s="5"/>
      <c r="L77" s="5"/>
      <c r="M77" s="5"/>
      <c r="N77" s="5"/>
      <c r="O77" s="5"/>
      <c r="P77" s="5"/>
      <c r="Q77" s="5"/>
      <c r="R77" s="5"/>
      <c r="S77" s="5"/>
      <c r="T77" s="5"/>
      <c r="U77" s="48"/>
      <c r="V77" s="48"/>
      <c r="W77" s="48"/>
      <c r="X77" s="616" t="s">
        <v>119</v>
      </c>
      <c r="Y77" s="595" t="str">
        <f ca="1">Taal02!$B$19</f>
        <v>Servië</v>
      </c>
      <c r="Z77" s="595" t="s">
        <v>1866</v>
      </c>
      <c r="AA77" s="600" t="str">
        <f ca="1">RIGHT(LEFT(Taal02!$B$48,(ROW()-66)*2),2)</f>
        <v>D2</v>
      </c>
      <c r="AB77" s="358" t="str">
        <f t="shared" ca="1" si="1"/>
        <v>Nederland</v>
      </c>
      <c r="AC77" s="598" t="str">
        <f t="shared" ca="1" si="3"/>
        <v>NL</v>
      </c>
      <c r="AD77" s="275" t="s">
        <v>130</v>
      </c>
      <c r="AE77" s="275" t="str">
        <f t="shared" ca="1" si="2"/>
        <v>Georgië</v>
      </c>
      <c r="AF77" s="358" t="str">
        <f t="shared" si="4"/>
        <v>GE</v>
      </c>
      <c r="AG77" s="275" t="str">
        <f t="shared" ca="1" si="5"/>
        <v>Georgië</v>
      </c>
    </row>
    <row r="78" spans="2:33" hidden="1" x14ac:dyDescent="0.25">
      <c r="B78" s="5"/>
      <c r="C78" s="5" t="str">
        <f ca="1">UPPER(Taal01!$B$15)</f>
        <v>HET BEHEERDERS BESTAND</v>
      </c>
      <c r="D78" s="5"/>
      <c r="E78" s="5"/>
      <c r="F78" s="5"/>
      <c r="G78" s="5"/>
      <c r="H78" s="5"/>
      <c r="I78" s="5"/>
      <c r="J78" s="5"/>
      <c r="K78" s="5"/>
      <c r="L78" s="5"/>
      <c r="M78" s="5"/>
      <c r="N78" s="5"/>
      <c r="O78" s="5"/>
      <c r="P78" s="5"/>
      <c r="Q78" s="5"/>
      <c r="R78" s="5"/>
      <c r="S78" s="5"/>
      <c r="T78" s="5"/>
      <c r="U78" s="48"/>
      <c r="V78" s="48"/>
      <c r="W78" s="48"/>
      <c r="X78" s="616" t="s">
        <v>128</v>
      </c>
      <c r="Y78" s="595" t="str">
        <f ca="1">Taal02!$B$20</f>
        <v>Engeland</v>
      </c>
      <c r="Z78" s="595" t="s">
        <v>472</v>
      </c>
      <c r="AA78" s="600" t="str">
        <f ca="1">RIGHT(LEFT(Taal02!$B$48,(ROW()-66)*2),2)</f>
        <v>E4</v>
      </c>
      <c r="AB78" s="358" t="str">
        <f t="shared" ca="1" si="1"/>
        <v>Oekraïne</v>
      </c>
      <c r="AC78" s="598" t="str">
        <f t="shared" ca="1" si="3"/>
        <v>UA</v>
      </c>
      <c r="AD78" s="275" t="s">
        <v>114</v>
      </c>
      <c r="AE78" s="275" t="str">
        <f t="shared" ca="1" si="2"/>
        <v>Kroatië</v>
      </c>
      <c r="AF78" s="358" t="str">
        <f t="shared" si="4"/>
        <v>HR</v>
      </c>
      <c r="AG78" s="275" t="str">
        <f t="shared" ca="1" si="5"/>
        <v>Kroatië</v>
      </c>
    </row>
    <row r="79" spans="2:33" hidden="1" x14ac:dyDescent="0.25">
      <c r="B79" s="5"/>
      <c r="C79" s="5" t="str">
        <f ca="1">UPPER(Taal01!$B$20)</f>
        <v>EXTRA BEHEERDERSMODULE VOOR DE ORGANISATOREN</v>
      </c>
      <c r="D79" s="5"/>
      <c r="E79" s="5"/>
      <c r="F79" s="5"/>
      <c r="G79" s="5"/>
      <c r="H79" s="5"/>
      <c r="I79" s="5"/>
      <c r="J79" s="5"/>
      <c r="K79" s="5"/>
      <c r="L79" s="5" t="str">
        <f ca="1">UPPER(Taal01!B27)</f>
        <v>LET OP: VOOR EEN OPTIMAAL GEBRUIK VAN DIT BESTAND WORDT GEADVISEERD OM DE MACRO'S IN TE SCHAKELEN.</v>
      </c>
      <c r="M79" s="5"/>
      <c r="N79" s="5"/>
      <c r="O79" s="5"/>
      <c r="P79" s="5"/>
      <c r="Q79" s="5"/>
      <c r="R79" s="5"/>
      <c r="S79" s="5"/>
      <c r="T79" s="5"/>
      <c r="U79" s="48"/>
      <c r="V79" s="48"/>
      <c r="W79" s="48"/>
      <c r="X79" s="616" t="s">
        <v>120</v>
      </c>
      <c r="Y79" s="595" t="str">
        <f ca="1">Taal02!$B$22</f>
        <v>Polen</v>
      </c>
      <c r="Z79" s="595" t="s">
        <v>2474</v>
      </c>
      <c r="AA79" s="600" t="str">
        <f ca="1">RIGHT(LEFT(Taal02!$B$48,(ROW()-66)*2),2)</f>
        <v>D3</v>
      </c>
      <c r="AB79" s="358" t="str">
        <f t="shared" ca="1" si="1"/>
        <v>Oostenrijk</v>
      </c>
      <c r="AC79" s="598" t="str">
        <f t="shared" ca="1" si="3"/>
        <v>AT</v>
      </c>
      <c r="AD79" s="275" t="s">
        <v>111</v>
      </c>
      <c r="AE79" s="275" t="str">
        <f t="shared" ca="1" si="2"/>
        <v>Hongarije</v>
      </c>
      <c r="AF79" s="358" t="str">
        <f t="shared" si="4"/>
        <v>HU</v>
      </c>
      <c r="AG79" s="275" t="str">
        <f t="shared" ca="1" si="5"/>
        <v>Hongarije</v>
      </c>
    </row>
    <row r="80" spans="2:33" hidden="1" x14ac:dyDescent="0.25">
      <c r="B80" s="5"/>
      <c r="C80" s="5" t="str">
        <f ca="1">UPPER(Taal01!$B$21)</f>
        <v>HET DEELNAME FORMULIER</v>
      </c>
      <c r="D80" s="5"/>
      <c r="E80" s="5"/>
      <c r="F80" s="5"/>
      <c r="G80" s="5"/>
      <c r="H80" s="5"/>
      <c r="I80" s="5"/>
      <c r="J80" s="5"/>
      <c r="K80" s="5"/>
      <c r="L80" s="5" t="str">
        <f ca="1">UPPER(Taal01!B28)</f>
        <v>LET OP: DEZE MODULE MAAKT GEBRUIK VAN MACRO'S. HET WORD GEADVISEERD OM DEZE IN TE SCHAKELEN.</v>
      </c>
      <c r="M80" s="5"/>
      <c r="N80" s="5"/>
      <c r="O80" s="5"/>
      <c r="P80" s="5"/>
      <c r="Q80" s="5"/>
      <c r="R80" s="5"/>
      <c r="S80" s="5"/>
      <c r="T80" s="5"/>
      <c r="U80" s="48"/>
      <c r="V80" s="48"/>
      <c r="W80" s="48"/>
      <c r="X80" s="616" t="s">
        <v>121</v>
      </c>
      <c r="Y80" s="595" t="str">
        <f ca="1">Taal02!$B$23</f>
        <v>Nederland</v>
      </c>
      <c r="Z80" s="595" t="s">
        <v>857</v>
      </c>
      <c r="AA80" s="600" t="str">
        <f ca="1">RIGHT(LEFT(Taal02!$B$48,(ROW()-66)*2),2)</f>
        <v>D1</v>
      </c>
      <c r="AB80" s="358" t="str">
        <f t="shared" ca="1" si="1"/>
        <v>Polen</v>
      </c>
      <c r="AC80" s="598" t="str">
        <f t="shared" ca="1" si="3"/>
        <v>PL</v>
      </c>
      <c r="AD80" s="275" t="s">
        <v>115</v>
      </c>
      <c r="AE80" s="275" t="str">
        <f t="shared" ca="1" si="2"/>
        <v>Italië</v>
      </c>
      <c r="AF80" s="358" t="str">
        <f t="shared" si="4"/>
        <v>IT</v>
      </c>
      <c r="AG80" s="275" t="str">
        <f t="shared" ca="1" si="5"/>
        <v>Italië</v>
      </c>
    </row>
    <row r="81" spans="2:33" hidden="1" x14ac:dyDescent="0.25">
      <c r="B81" s="5"/>
      <c r="C81" s="5" t="str">
        <f ca="1">UPPER(Taal01!$B$22)</f>
        <v>HET EXCEL DEELNAME FORMULIER</v>
      </c>
      <c r="D81" s="5"/>
      <c r="E81" s="5"/>
      <c r="F81" s="5"/>
      <c r="G81" s="5"/>
      <c r="H81" s="5"/>
      <c r="I81" s="5"/>
      <c r="J81" s="5"/>
      <c r="K81" s="5"/>
      <c r="L81" s="5" t="str">
        <f ca="1">UPPER(Taal01!B29)</f>
        <v>LET OP: DIT FORMULIER BEVAT GEEN REGLEMENT. VRAAG UW ORGANISATOR OM HET REGLEMENT TOE TE VOEGEN.</v>
      </c>
      <c r="M81" s="5"/>
      <c r="N81" s="5"/>
      <c r="O81" s="5"/>
      <c r="P81" s="5"/>
      <c r="Q81" s="5"/>
      <c r="R81" s="5"/>
      <c r="S81" s="5"/>
      <c r="T81" s="5"/>
      <c r="U81" s="48"/>
      <c r="V81" s="48"/>
      <c r="W81" s="48"/>
      <c r="X81" s="616" t="s">
        <v>122</v>
      </c>
      <c r="Y81" s="595" t="str">
        <f ca="1">Taal02!$B$24</f>
        <v>Oostenrijk</v>
      </c>
      <c r="Z81" s="595" t="s">
        <v>2379</v>
      </c>
      <c r="AA81" s="600" t="str">
        <f ca="1">RIGHT(LEFT(Taal02!$B$48,(ROW()-66)*2),2)</f>
        <v>F3</v>
      </c>
      <c r="AB81" s="358" t="str">
        <f t="shared" ca="1" si="1"/>
        <v>Portugal</v>
      </c>
      <c r="AC81" s="598" t="str">
        <f t="shared" ca="1" si="3"/>
        <v>PT</v>
      </c>
      <c r="AD81" s="275" t="s">
        <v>121</v>
      </c>
      <c r="AE81" s="275" t="str">
        <f t="shared" ca="1" si="2"/>
        <v>Nederland</v>
      </c>
      <c r="AF81" s="358" t="str">
        <f t="shared" si="4"/>
        <v>NL</v>
      </c>
      <c r="AG81" s="275" t="str">
        <f t="shared" ca="1" si="5"/>
        <v>Nederland</v>
      </c>
    </row>
    <row r="82" spans="2:33" hidden="1" x14ac:dyDescent="0.25">
      <c r="B82" s="5"/>
      <c r="C82" s="5" t="str">
        <f ca="1">UPPER(Taal01!$B$23)</f>
        <v>EXTERNE RANGLIJST</v>
      </c>
      <c r="D82" s="5"/>
      <c r="E82" s="5"/>
      <c r="F82" s="5"/>
      <c r="G82" s="5"/>
      <c r="H82" s="5"/>
      <c r="I82" s="5"/>
      <c r="J82" s="5"/>
      <c r="K82" s="5"/>
      <c r="L82" s="5" t="str">
        <f ca="1">UPPER(IF(LEN(S65)=2,Taal01!$B$30,Taal01!$B$31))</f>
        <v>LET OP: DEZE MODULE MAAKT GEBRUIKT VAN MACRO'S EN IS GESCHIKT VOOR MAXIMAAL ### DEELNEMERS.</v>
      </c>
      <c r="M82" s="5"/>
      <c r="N82" s="5"/>
      <c r="O82" s="5"/>
      <c r="P82" s="5"/>
      <c r="Q82" s="5"/>
      <c r="R82" s="5"/>
      <c r="S82" s="5"/>
      <c r="T82" s="5"/>
      <c r="U82" s="48"/>
      <c r="V82" s="48"/>
      <c r="W82" s="48"/>
      <c r="X82" s="616" t="s">
        <v>123</v>
      </c>
      <c r="Y82" s="595" t="str">
        <f ca="1">Taal02!$B$25</f>
        <v>Frankrijk</v>
      </c>
      <c r="Z82" s="595" t="s">
        <v>467</v>
      </c>
      <c r="AA82" s="600" t="str">
        <f ca="1">RIGHT(LEFT(Taal02!$B$48,(ROW()-66)*2),2)</f>
        <v>E3</v>
      </c>
      <c r="AB82" s="358" t="str">
        <f t="shared" ca="1" si="1"/>
        <v>Roemenië</v>
      </c>
      <c r="AC82" s="598" t="str">
        <f t="shared" ca="1" si="3"/>
        <v>RO</v>
      </c>
      <c r="AD82" s="275" t="s">
        <v>120</v>
      </c>
      <c r="AE82" s="275" t="str">
        <f t="shared" ca="1" si="2"/>
        <v>Polen</v>
      </c>
      <c r="AF82" s="358" t="str">
        <f t="shared" si="4"/>
        <v>PL</v>
      </c>
      <c r="AG82" s="275" t="str">
        <f t="shared" ca="1" si="5"/>
        <v>Polen</v>
      </c>
    </row>
    <row r="83" spans="2:33" hidden="1" x14ac:dyDescent="0.25">
      <c r="B83" s="5"/>
      <c r="C83" s="5" t="str">
        <f ca="1">UPPER(Taal01!$B$24)</f>
        <v>UITBREIDINGSMODULE VOOR HET BEHEERDERS BESTAND</v>
      </c>
      <c r="D83" s="5"/>
      <c r="E83" s="5"/>
      <c r="F83" s="5"/>
      <c r="G83" s="5"/>
      <c r="H83" s="5"/>
      <c r="I83" s="5"/>
      <c r="J83" s="5"/>
      <c r="K83" s="5"/>
      <c r="L83" s="5" t="str">
        <f ca="1">UPPER(Taal01!B32)</f>
        <v>LET OP: DEZE UPDATE MAAKT GEBRUIK VAN MACRO'S. GEADVISEERD WORDT OM DEZE IN TE SCHAKELEN.</v>
      </c>
      <c r="M83" s="5"/>
      <c r="N83" s="5"/>
      <c r="O83" s="5"/>
      <c r="P83" s="5"/>
      <c r="Q83" s="5"/>
      <c r="R83" s="5"/>
      <c r="S83" s="5"/>
      <c r="T83" s="5"/>
      <c r="U83" s="48"/>
      <c r="V83" s="48"/>
      <c r="W83" s="48"/>
      <c r="X83" s="616" t="s">
        <v>124</v>
      </c>
      <c r="Y83" s="595" t="str">
        <f ca="1">Taal02!$B$27</f>
        <v>België</v>
      </c>
      <c r="Z83" s="595" t="s">
        <v>464</v>
      </c>
      <c r="AA83" s="600" t="str">
        <f ca="1">RIGHT(LEFT(Taal02!$B$48,(ROW()-66)*2),2)</f>
        <v>A2</v>
      </c>
      <c r="AB83" s="358" t="str">
        <f t="shared" ca="1" si="1"/>
        <v>Schotland</v>
      </c>
      <c r="AC83" s="598" t="str">
        <f t="shared" ca="1" si="3"/>
        <v>SC</v>
      </c>
      <c r="AD83" s="275" t="s">
        <v>131</v>
      </c>
      <c r="AE83" s="275" t="str">
        <f t="shared" ca="1" si="2"/>
        <v>Portugal</v>
      </c>
      <c r="AF83" s="358" t="str">
        <f t="shared" si="4"/>
        <v>PT</v>
      </c>
      <c r="AG83" s="275" t="str">
        <f t="shared" ca="1" si="5"/>
        <v>Portugal</v>
      </c>
    </row>
    <row r="84" spans="2:33" hidden="1" x14ac:dyDescent="0.25">
      <c r="B84" s="5"/>
      <c r="C84" s="5" t="str">
        <f ca="1">UPPER(Taal01!$B$25)</f>
        <v>UPDATE VOOR DE EXCEL EK-POOL NAAR VERSIE</v>
      </c>
      <c r="D84" s="51"/>
      <c r="E84" s="51"/>
      <c r="F84" s="51"/>
      <c r="G84" s="51"/>
      <c r="H84" s="51"/>
      <c r="I84" s="51"/>
      <c r="J84" s="51"/>
      <c r="K84" s="51"/>
      <c r="L84" s="5"/>
      <c r="M84" s="5"/>
      <c r="N84" s="5"/>
      <c r="O84" s="5"/>
      <c r="P84" s="5"/>
      <c r="Q84" s="5"/>
      <c r="R84" s="5"/>
      <c r="S84" s="5"/>
      <c r="T84" s="5"/>
      <c r="U84" s="48"/>
      <c r="V84" s="48"/>
      <c r="W84" s="48"/>
      <c r="X84" s="616" t="s">
        <v>125</v>
      </c>
      <c r="Y84" s="595" t="str">
        <f ca="1">Taal02!$B$28</f>
        <v>Slowakije</v>
      </c>
      <c r="Z84" s="595" t="s">
        <v>2378</v>
      </c>
      <c r="AA84" s="600" t="str">
        <f ca="1">RIGHT(LEFT(Taal02!$B$48,(ROW()-66)*2),2)</f>
        <v>C3</v>
      </c>
      <c r="AB84" s="358" t="str">
        <f t="shared" ca="1" si="1"/>
        <v>Servië</v>
      </c>
      <c r="AC84" s="598" t="str">
        <f t="shared" ca="1" si="3"/>
        <v>RS</v>
      </c>
      <c r="AD84" s="275" t="s">
        <v>126</v>
      </c>
      <c r="AE84" s="275" t="str">
        <f t="shared" ca="1" si="2"/>
        <v>Roemenië</v>
      </c>
      <c r="AF84" s="358" t="str">
        <f t="shared" si="4"/>
        <v>RO</v>
      </c>
      <c r="AG84" s="275" t="str">
        <f t="shared" ca="1" si="5"/>
        <v>Roemenië</v>
      </c>
    </row>
    <row r="85" spans="2:33" hidden="1" x14ac:dyDescent="0.25">
      <c r="B85" s="5"/>
      <c r="C85" s="96" t="s">
        <v>100</v>
      </c>
      <c r="D85" s="111" t="s">
        <v>16</v>
      </c>
      <c r="E85" s="5" t="str">
        <f ca="1">$C$78&amp;" "&amp;$C$77</f>
        <v>HET BEHEERDERS BESTAND EURO 2024 (DUITSLAND)</v>
      </c>
      <c r="F85" s="5"/>
      <c r="G85" s="5"/>
      <c r="H85" s="5"/>
      <c r="I85" s="5"/>
      <c r="J85" s="5"/>
      <c r="K85" s="5"/>
      <c r="L85" s="5" t="str">
        <f ca="1">IF(H66="deelnemer","",L79)</f>
        <v>LET OP: VOOR EEN OPTIMAAL GEBRUIK VAN DIT BESTAND WORDT GEADVISEERD OM DE MACRO'S IN TE SCHAKELEN.</v>
      </c>
      <c r="M85" s="5"/>
      <c r="N85" s="5"/>
      <c r="O85" s="5"/>
      <c r="P85" s="5"/>
      <c r="Q85" s="5"/>
      <c r="R85" s="5"/>
      <c r="S85" s="5"/>
      <c r="T85" s="5"/>
      <c r="U85" s="48"/>
      <c r="V85" s="48"/>
      <c r="W85" s="48"/>
      <c r="X85" s="616" t="s">
        <v>126</v>
      </c>
      <c r="Y85" s="595" t="str">
        <f ca="1">Taal02!$B$29</f>
        <v>Roemenië</v>
      </c>
      <c r="Z85" s="595" t="s">
        <v>2380</v>
      </c>
      <c r="AA85" s="600" t="str">
        <f ca="1">RIGHT(LEFT(Taal02!$B$48,(ROW()-66)*2),2)</f>
        <v>C1</v>
      </c>
      <c r="AB85" s="358" t="str">
        <f t="shared" ca="1" si="1"/>
        <v>Slovenië</v>
      </c>
      <c r="AC85" s="598" t="str">
        <f t="shared" ca="1" si="3"/>
        <v>SI</v>
      </c>
      <c r="AD85" s="275" t="s">
        <v>119</v>
      </c>
      <c r="AE85" s="275" t="str">
        <f t="shared" ca="1" si="2"/>
        <v>Servië</v>
      </c>
      <c r="AF85" s="358" t="str">
        <f t="shared" si="4"/>
        <v>RS</v>
      </c>
      <c r="AG85" s="275" t="str">
        <f t="shared" ca="1" si="5"/>
        <v>Servië</v>
      </c>
    </row>
    <row r="86" spans="2:33" hidden="1" x14ac:dyDescent="0.25">
      <c r="B86" s="5"/>
      <c r="C86" s="525" t="str">
        <f>CHAR(CODE(C85)+1)</f>
        <v>b</v>
      </c>
      <c r="D86" s="526" t="s">
        <v>16</v>
      </c>
      <c r="E86" s="527" t="str">
        <f ca="1">$C$78&amp;" "&amp;$C$77</f>
        <v>HET BEHEERDERS BESTAND EURO 2024 (DUITSLAND)</v>
      </c>
      <c r="F86" s="527"/>
      <c r="G86" s="527"/>
      <c r="H86" s="527"/>
      <c r="I86" s="527"/>
      <c r="J86" s="527"/>
      <c r="K86" s="527"/>
      <c r="L86" s="5" t="str">
        <f>""</f>
        <v/>
      </c>
      <c r="M86" s="5"/>
      <c r="N86" s="5"/>
      <c r="O86" s="5"/>
      <c r="P86" s="5"/>
      <c r="Q86" s="5"/>
      <c r="R86" s="5"/>
      <c r="S86" s="5"/>
      <c r="T86" s="5"/>
      <c r="U86" s="48"/>
      <c r="V86" s="48"/>
      <c r="W86" s="48"/>
      <c r="X86" s="616" t="s">
        <v>127</v>
      </c>
      <c r="Y86" s="595" t="str">
        <f ca="1">Taal02!$B$30</f>
        <v>Oekraïne</v>
      </c>
      <c r="Z86" s="595" t="s">
        <v>2475</v>
      </c>
      <c r="AA86" s="600" t="str">
        <f ca="1">RIGHT(LEFT(Taal02!$B$48,(ROW()-66)*2),2)</f>
        <v>E2</v>
      </c>
      <c r="AB86" s="358" t="str">
        <f t="shared" ca="1" si="1"/>
        <v>Slowakije</v>
      </c>
      <c r="AC86" s="598" t="str">
        <f ca="1">VLOOKUP($AA86,$X$67:$Z$98,3)</f>
        <v>SK</v>
      </c>
      <c r="AD86" s="275" t="s">
        <v>110</v>
      </c>
      <c r="AE86" s="275" t="str">
        <f t="shared" ca="1" si="2"/>
        <v>Schotland</v>
      </c>
      <c r="AF86" s="358" t="str">
        <f t="shared" si="4"/>
        <v>SC</v>
      </c>
      <c r="AG86" s="275" t="str">
        <f t="shared" ca="1" si="5"/>
        <v>Schotland</v>
      </c>
    </row>
    <row r="87" spans="2:33" hidden="1" x14ac:dyDescent="0.25">
      <c r="B87" s="5"/>
      <c r="C87" s="96" t="str">
        <f>CHAR(CODE(C86)+1)</f>
        <v>c</v>
      </c>
      <c r="D87" s="111" t="s">
        <v>16</v>
      </c>
      <c r="E87" s="5" t="str">
        <f ca="1">$C$78&amp;" "&amp;$C$77&amp;" - "&amp;UPPER(Taal01!$B$16)</f>
        <v>HET BEHEERDERS BESTAND EURO 2024 (DUITSLAND) - DEMO</v>
      </c>
      <c r="F87" s="5"/>
      <c r="G87" s="5"/>
      <c r="H87" s="5"/>
      <c r="I87" s="5"/>
      <c r="J87" s="5"/>
      <c r="K87" s="5"/>
      <c r="L87" s="5" t="str">
        <f ca="1">IF(H66="deelnemer","",L79)</f>
        <v>LET OP: VOOR EEN OPTIMAAL GEBRUIK VAN DIT BESTAND WORDT GEADVISEERD OM DE MACRO'S IN TE SCHAKELEN.</v>
      </c>
      <c r="M87" s="5"/>
      <c r="N87" s="5"/>
      <c r="O87" s="5"/>
      <c r="P87" s="5"/>
      <c r="Q87" s="5"/>
      <c r="R87" s="5"/>
      <c r="S87" s="5"/>
      <c r="T87" s="5"/>
      <c r="U87" s="48"/>
      <c r="V87" s="48"/>
      <c r="W87" s="48"/>
      <c r="X87" s="616" t="s">
        <v>129</v>
      </c>
      <c r="Y87" s="595" t="str">
        <f ca="1">Taal02!$B$32</f>
        <v>Turkije</v>
      </c>
      <c r="Z87" s="595" t="s">
        <v>2381</v>
      </c>
      <c r="AA87" s="600" t="str">
        <f ca="1">RIGHT(LEFT(Taal02!$B$48,(ROW()-66)*2),2)</f>
        <v>B1</v>
      </c>
      <c r="AB87" s="358" t="str">
        <f t="shared" ca="1" si="1"/>
        <v>Spanje</v>
      </c>
      <c r="AC87" s="598" t="str">
        <f t="shared" ca="1" si="3"/>
        <v>ES</v>
      </c>
      <c r="AD87" s="275" t="s">
        <v>117</v>
      </c>
      <c r="AE87" s="275" t="str">
        <f t="shared" ca="1" si="2"/>
        <v>Slovenië</v>
      </c>
      <c r="AF87" s="358" t="str">
        <f t="shared" si="4"/>
        <v>SI</v>
      </c>
      <c r="AG87" s="275" t="str">
        <f t="shared" ca="1" si="5"/>
        <v>Slovenië</v>
      </c>
    </row>
    <row r="88" spans="2:33" hidden="1" x14ac:dyDescent="0.25">
      <c r="B88" s="5"/>
      <c r="C88" s="96" t="str">
        <f>IF(LEN(S65)=2,IF(OR(RIGHT(S65,1)="e",RIGHT(S65,1)="g",RIGHT(S65,1)="i",RIGHT(S65,1)="k"),S65,"cc"),"cc")</f>
        <v>cc</v>
      </c>
      <c r="D88" s="111" t="s">
        <v>16</v>
      </c>
      <c r="E88" s="5" t="str">
        <f ca="1">$C$80&amp;" "&amp;$C$77</f>
        <v>HET DEELNAME FORMULIER EURO 2024 (DUITSLAND)</v>
      </c>
      <c r="F88" s="5"/>
      <c r="G88" s="5"/>
      <c r="H88" s="5"/>
      <c r="I88" s="5"/>
      <c r="J88" s="5"/>
      <c r="K88" s="5"/>
      <c r="L88" s="5" t="str">
        <f>IF($P$66="JA","",$L$81)</f>
        <v/>
      </c>
      <c r="M88" s="5"/>
      <c r="N88" s="5"/>
      <c r="O88" s="5"/>
      <c r="P88" s="5"/>
      <c r="Q88" s="5"/>
      <c r="R88" s="5"/>
      <c r="S88" s="5"/>
      <c r="T88" s="5"/>
      <c r="U88" s="48"/>
      <c r="V88" s="48"/>
      <c r="W88" s="48"/>
      <c r="X88" s="616" t="s">
        <v>130</v>
      </c>
      <c r="Y88" s="595" t="str">
        <f ca="1">Taal02!$B$33</f>
        <v>Georgië</v>
      </c>
      <c r="Z88" s="595" t="s">
        <v>2476</v>
      </c>
      <c r="AA88" s="600" t="str">
        <f ca="1">RIGHT(LEFT(Taal02!$B$48,(ROW()-66)*2),2)</f>
        <v>F4</v>
      </c>
      <c r="AB88" s="358" t="str">
        <f t="shared" ca="1" si="1"/>
        <v>Tsjechië</v>
      </c>
      <c r="AC88" s="598" t="str">
        <f t="shared" ca="1" si="3"/>
        <v>CZ</v>
      </c>
      <c r="AD88" s="275" t="s">
        <v>125</v>
      </c>
      <c r="AE88" s="275" t="str">
        <f t="shared" ca="1" si="2"/>
        <v>Slowakije</v>
      </c>
      <c r="AF88" s="358" t="str">
        <f t="shared" si="4"/>
        <v>SK</v>
      </c>
      <c r="AG88" s="275" t="str">
        <f t="shared" ca="1" si="5"/>
        <v>Slowakije</v>
      </c>
    </row>
    <row r="89" spans="2:33" hidden="1" x14ac:dyDescent="0.25">
      <c r="B89" s="5"/>
      <c r="C89" s="96" t="str">
        <f>IF(LEN(S65)=2,IF(OR(RIGHT(S65,1)="d",RIGHT(S65,1)="f",RIGHT(S65,1)="h",RIGHT(S65,1)="j"),S65,"ll"),"ll")</f>
        <v>dh</v>
      </c>
      <c r="D89" s="111" t="s">
        <v>16</v>
      </c>
      <c r="E89" s="5" t="str">
        <f ca="1">$C$81&amp;" "&amp;$C$77</f>
        <v>HET EXCEL DEELNAME FORMULIER EURO 2024 (DUITSLAND)</v>
      </c>
      <c r="F89" s="5"/>
      <c r="G89" s="5"/>
      <c r="H89" s="5"/>
      <c r="I89" s="5"/>
      <c r="J89" s="5"/>
      <c r="K89" s="5"/>
      <c r="L89" s="5" t="str">
        <f>IF($P$66="JA","",$L$81)</f>
        <v/>
      </c>
      <c r="M89" s="5"/>
      <c r="N89" s="5"/>
      <c r="O89" s="5"/>
      <c r="P89" s="5"/>
      <c r="Q89" s="5"/>
      <c r="R89" s="5"/>
      <c r="S89" s="5"/>
      <c r="T89" s="5"/>
      <c r="U89" s="48"/>
      <c r="V89" s="48"/>
      <c r="W89" s="48"/>
      <c r="X89" s="616" t="s">
        <v>131</v>
      </c>
      <c r="Y89" s="595" t="str">
        <f ca="1">Taal02!$B$34</f>
        <v>Portugal</v>
      </c>
      <c r="Z89" s="595" t="s">
        <v>468</v>
      </c>
      <c r="AA89" s="600" t="str">
        <f ca="1">RIGHT(LEFT(Taal02!$B$48,(ROW()-66)*2),2)</f>
        <v>F1</v>
      </c>
      <c r="AB89" s="358" t="str">
        <f t="shared" ca="1" si="1"/>
        <v>Turkije</v>
      </c>
      <c r="AC89" s="598" t="str">
        <f t="shared" ca="1" si="3"/>
        <v>TR</v>
      </c>
      <c r="AD89" s="275" t="s">
        <v>129</v>
      </c>
      <c r="AE89" s="275" t="str">
        <f t="shared" ca="1" si="2"/>
        <v>Turkije</v>
      </c>
      <c r="AF89" s="358" t="str">
        <f t="shared" si="4"/>
        <v>TR</v>
      </c>
      <c r="AG89" s="275" t="str">
        <f t="shared" ca="1" si="5"/>
        <v>Turkije</v>
      </c>
    </row>
    <row r="90" spans="2:33" hidden="1" x14ac:dyDescent="0.25">
      <c r="B90" s="5"/>
      <c r="C90" s="96" t="str">
        <f>IF(LEN($S$65)=1,"r","rr")</f>
        <v>rr</v>
      </c>
      <c r="D90" s="111" t="s">
        <v>16</v>
      </c>
      <c r="E90" s="5" t="str">
        <f t="shared" ref="E90:E95" ca="1" si="6">IF(LEN($S$65)=1,$C$82&amp;" "&amp;$C$77,$C$83)</f>
        <v>UITBREIDINGSMODULE VOOR HET BEHEERDERS BESTAND</v>
      </c>
      <c r="F90" s="5"/>
      <c r="G90" s="5"/>
      <c r="H90" s="5"/>
      <c r="I90" s="5"/>
      <c r="J90" s="5"/>
      <c r="K90" s="5"/>
      <c r="L90" s="5" t="str">
        <f t="shared" ref="L90:L95" ca="1" si="7">SUBSTITUTE($L$82,"###",$P$67)</f>
        <v>LET OP: DEZE MODULE MAAKT GEBRUIKT VAN MACRO'S EN IS GESCHIKT VOOR MAXIMAAL nvt DEELNEMERS.</v>
      </c>
      <c r="M90" s="5"/>
      <c r="N90" s="5"/>
      <c r="O90" s="5"/>
      <c r="P90" s="5"/>
      <c r="Q90" s="5"/>
      <c r="R90" s="5"/>
      <c r="S90" s="5"/>
      <c r="T90" s="5"/>
      <c r="U90" s="48"/>
      <c r="V90" s="48"/>
      <c r="W90" s="48"/>
      <c r="X90" s="616" t="s">
        <v>132</v>
      </c>
      <c r="Y90" s="595" t="str">
        <f ca="1">Taal02!$B$35</f>
        <v>Tsjechië</v>
      </c>
      <c r="Z90" s="595" t="s">
        <v>2382</v>
      </c>
      <c r="AA90" s="600" t="str">
        <f ca="1">RIGHT(LEFT(Taal02!$B$48,(ROW()-66)*2),2)</f>
        <v>A4</v>
      </c>
      <c r="AB90" s="358" t="str">
        <f t="shared" ca="1" si="1"/>
        <v>Zwitserland</v>
      </c>
      <c r="AC90" s="598" t="str">
        <f t="shared" ca="1" si="3"/>
        <v>CH</v>
      </c>
      <c r="AD90" s="275" t="s">
        <v>127</v>
      </c>
      <c r="AE90" s="275" t="str">
        <f t="shared" ca="1" si="2"/>
        <v>Oekraïne</v>
      </c>
      <c r="AF90" s="358" t="str">
        <f t="shared" si="4"/>
        <v>UA</v>
      </c>
      <c r="AG90" s="275" t="str">
        <f t="shared" ca="1" si="5"/>
        <v>Oekraïne</v>
      </c>
    </row>
    <row r="91" spans="2:33" hidden="1" x14ac:dyDescent="0.25">
      <c r="B91" s="5"/>
      <c r="C91" s="96" t="str">
        <f>IF(LEN($S$65)=1,"s","ss")</f>
        <v>ss</v>
      </c>
      <c r="D91" s="111" t="s">
        <v>16</v>
      </c>
      <c r="E91" s="5" t="str">
        <f t="shared" ca="1" si="6"/>
        <v>UITBREIDINGSMODULE VOOR HET BEHEERDERS BESTAND</v>
      </c>
      <c r="F91" s="5"/>
      <c r="G91" s="5"/>
      <c r="H91" s="5"/>
      <c r="I91" s="5"/>
      <c r="J91" s="5"/>
      <c r="K91" s="5"/>
      <c r="L91" s="5" t="str">
        <f t="shared" ca="1" si="7"/>
        <v>LET OP: DEZE MODULE MAAKT GEBRUIKT VAN MACRO'S EN IS GESCHIKT VOOR MAXIMAAL nvt DEELNEMERS.</v>
      </c>
      <c r="M91" s="5"/>
      <c r="N91" s="5"/>
      <c r="O91" s="5"/>
      <c r="P91" s="5"/>
      <c r="Q91" s="5"/>
      <c r="R91" s="5"/>
      <c r="S91" s="5"/>
      <c r="T91" s="5"/>
      <c r="U91" s="48"/>
      <c r="V91" s="48"/>
      <c r="W91" s="48"/>
      <c r="X91" s="616" t="s">
        <v>133</v>
      </c>
      <c r="Y91" s="595" t="str">
        <f ca="1">Taal02!$B$37</f>
        <v>ZZZ_land_G1</v>
      </c>
      <c r="Z91" s="595" t="s">
        <v>2383</v>
      </c>
      <c r="AA91" s="600" t="str">
        <f ca="1">RIGHT(LEFT(Taal02!$B$48,(ROW()-66)*2),2)</f>
        <v>G1</v>
      </c>
      <c r="AB91" s="358" t="str">
        <f t="shared" ca="1" si="1"/>
        <v>ZZZ_land_G1</v>
      </c>
      <c r="AC91" s="598" t="str">
        <f t="shared" ca="1" si="3"/>
        <v>ZA</v>
      </c>
      <c r="AD91" s="275" t="s">
        <v>133</v>
      </c>
      <c r="AE91" s="275" t="str">
        <f t="shared" ca="1" si="2"/>
        <v>ZZZ_land_G1</v>
      </c>
      <c r="AF91" s="358" t="str">
        <f t="shared" si="4"/>
        <v>ZA</v>
      </c>
      <c r="AG91" s="275" t="str">
        <f t="shared" ca="1" si="5"/>
        <v>ZZZ_land_G1</v>
      </c>
    </row>
    <row r="92" spans="2:33" hidden="1" x14ac:dyDescent="0.25">
      <c r="B92" s="5"/>
      <c r="C92" s="96" t="str">
        <f>IF(LEN($S$65)=1,"t","tt")</f>
        <v>tt</v>
      </c>
      <c r="D92" s="111" t="s">
        <v>16</v>
      </c>
      <c r="E92" s="5" t="str">
        <f t="shared" ca="1" si="6"/>
        <v>UITBREIDINGSMODULE VOOR HET BEHEERDERS BESTAND</v>
      </c>
      <c r="F92" s="5"/>
      <c r="G92" s="5"/>
      <c r="H92" s="5"/>
      <c r="I92" s="5"/>
      <c r="J92" s="5"/>
      <c r="K92" s="5"/>
      <c r="L92" s="5" t="str">
        <f t="shared" ca="1" si="7"/>
        <v>LET OP: DEZE MODULE MAAKT GEBRUIKT VAN MACRO'S EN IS GESCHIKT VOOR MAXIMAAL nvt DEELNEMERS.</v>
      </c>
      <c r="M92" s="5"/>
      <c r="N92" s="5"/>
      <c r="O92" s="5"/>
      <c r="P92" s="5"/>
      <c r="Q92" s="5"/>
      <c r="R92" s="5"/>
      <c r="S92" s="5"/>
      <c r="T92" s="5"/>
      <c r="U92" s="48"/>
      <c r="V92" s="48"/>
      <c r="W92" s="48"/>
      <c r="X92" s="616" t="s">
        <v>134</v>
      </c>
      <c r="Y92" s="595" t="str">
        <f ca="1">Taal02!$B$38</f>
        <v>ZZZ_land_G2</v>
      </c>
      <c r="Z92" s="595" t="s">
        <v>2384</v>
      </c>
      <c r="AA92" s="600" t="str">
        <f ca="1">RIGHT(LEFT(Taal02!$B$48,(ROW()-66)*2),2)</f>
        <v>G2</v>
      </c>
      <c r="AB92" s="358" t="str">
        <f t="shared" ca="1" si="1"/>
        <v>ZZZ_land_G2</v>
      </c>
      <c r="AC92" s="598" t="str">
        <f t="shared" ca="1" si="3"/>
        <v>ZB</v>
      </c>
      <c r="AD92" s="275" t="s">
        <v>134</v>
      </c>
      <c r="AE92" s="275" t="str">
        <f t="shared" ca="1" si="2"/>
        <v>ZZZ_land_G2</v>
      </c>
      <c r="AF92" s="358" t="str">
        <f t="shared" si="4"/>
        <v>ZB</v>
      </c>
      <c r="AG92" s="275" t="str">
        <f t="shared" ca="1" si="5"/>
        <v>ZZZ_land_G2</v>
      </c>
    </row>
    <row r="93" spans="2:33" hidden="1" x14ac:dyDescent="0.25">
      <c r="B93" s="5"/>
      <c r="C93" s="96" t="str">
        <f>IF(LEN($S$65)=1,"u","uu")</f>
        <v>uu</v>
      </c>
      <c r="D93" s="111" t="s">
        <v>16</v>
      </c>
      <c r="E93" s="5" t="str">
        <f t="shared" ca="1" si="6"/>
        <v>UITBREIDINGSMODULE VOOR HET BEHEERDERS BESTAND</v>
      </c>
      <c r="F93" s="5"/>
      <c r="G93" s="5"/>
      <c r="H93" s="5"/>
      <c r="I93" s="5"/>
      <c r="J93" s="5"/>
      <c r="K93" s="5"/>
      <c r="L93" s="5" t="str">
        <f t="shared" ca="1" si="7"/>
        <v>LET OP: DEZE MODULE MAAKT GEBRUIKT VAN MACRO'S EN IS GESCHIKT VOOR MAXIMAAL nvt DEELNEMERS.</v>
      </c>
      <c r="M93" s="5"/>
      <c r="N93" s="5"/>
      <c r="O93" s="5"/>
      <c r="P93" s="5"/>
      <c r="Q93" s="5"/>
      <c r="R93" s="5"/>
      <c r="S93" s="5"/>
      <c r="T93" s="5"/>
      <c r="U93" s="48"/>
      <c r="V93" s="48"/>
      <c r="W93" s="48"/>
      <c r="X93" s="616" t="s">
        <v>135</v>
      </c>
      <c r="Y93" s="595" t="str">
        <f ca="1">Taal02!$B$39</f>
        <v>ZZZ_land_G3</v>
      </c>
      <c r="Z93" s="595" t="s">
        <v>2385</v>
      </c>
      <c r="AA93" s="600" t="str">
        <f ca="1">RIGHT(LEFT(Taal02!$B$48,(ROW()-66)*2),2)</f>
        <v>G3</v>
      </c>
      <c r="AB93" s="358" t="str">
        <f t="shared" ca="1" si="1"/>
        <v>ZZZ_land_G3</v>
      </c>
      <c r="AC93" s="598" t="str">
        <f t="shared" ca="1" si="3"/>
        <v>ZC</v>
      </c>
      <c r="AD93" s="275" t="s">
        <v>135</v>
      </c>
      <c r="AE93" s="275" t="str">
        <f t="shared" ca="1" si="2"/>
        <v>ZZZ_land_G3</v>
      </c>
      <c r="AF93" s="358" t="str">
        <f t="shared" si="4"/>
        <v>ZC</v>
      </c>
      <c r="AG93" s="275" t="str">
        <f t="shared" ca="1" si="5"/>
        <v>ZZZ_land_G3</v>
      </c>
    </row>
    <row r="94" spans="2:33" hidden="1" x14ac:dyDescent="0.25">
      <c r="B94" s="5"/>
      <c r="C94" s="96" t="str">
        <f>IF(LEN($S$65)=1,"v","vv")</f>
        <v>vv</v>
      </c>
      <c r="D94" s="111" t="s">
        <v>16</v>
      </c>
      <c r="E94" s="5" t="str">
        <f t="shared" ca="1" si="6"/>
        <v>UITBREIDINGSMODULE VOOR HET BEHEERDERS BESTAND</v>
      </c>
      <c r="F94" s="5"/>
      <c r="G94" s="5"/>
      <c r="H94" s="5"/>
      <c r="I94" s="5"/>
      <c r="J94" s="5"/>
      <c r="K94" s="5"/>
      <c r="L94" s="5" t="str">
        <f t="shared" ca="1" si="7"/>
        <v>LET OP: DEZE MODULE MAAKT GEBRUIKT VAN MACRO'S EN IS GESCHIKT VOOR MAXIMAAL nvt DEELNEMERS.</v>
      </c>
      <c r="M94" s="5"/>
      <c r="N94" s="5"/>
      <c r="O94" s="5"/>
      <c r="P94" s="5"/>
      <c r="Q94" s="5"/>
      <c r="R94" s="5"/>
      <c r="S94" s="5"/>
      <c r="T94" s="5"/>
      <c r="U94" s="48"/>
      <c r="V94" s="48"/>
      <c r="W94" s="48"/>
      <c r="X94" s="616" t="s">
        <v>136</v>
      </c>
      <c r="Y94" s="595" t="str">
        <f ca="1">Taal02!$B$40</f>
        <v>ZZZ_land_G4</v>
      </c>
      <c r="Z94" s="595" t="s">
        <v>2386</v>
      </c>
      <c r="AA94" s="600" t="str">
        <f ca="1">RIGHT(LEFT(Taal02!$B$48,(ROW()-66)*2),2)</f>
        <v>G4</v>
      </c>
      <c r="AB94" s="358" t="str">
        <f t="shared" ca="1" si="1"/>
        <v>ZZZ_land_G4</v>
      </c>
      <c r="AC94" s="598" t="str">
        <f t="shared" ca="1" si="3"/>
        <v>ZD</v>
      </c>
      <c r="AD94" s="275" t="s">
        <v>136</v>
      </c>
      <c r="AE94" s="275" t="str">
        <f t="shared" ca="1" si="2"/>
        <v>ZZZ_land_G4</v>
      </c>
      <c r="AF94" s="358" t="str">
        <f t="shared" si="4"/>
        <v>ZD</v>
      </c>
      <c r="AG94" s="275" t="str">
        <f t="shared" ca="1" si="5"/>
        <v>ZZZ_land_G4</v>
      </c>
    </row>
    <row r="95" spans="2:33" hidden="1" x14ac:dyDescent="0.25">
      <c r="B95" s="5"/>
      <c r="C95" s="96" t="str">
        <f>IF(LEN($S$65)=1,"w","ww")</f>
        <v>ww</v>
      </c>
      <c r="D95" s="111" t="s">
        <v>16</v>
      </c>
      <c r="E95" s="5" t="str">
        <f t="shared" ca="1" si="6"/>
        <v>UITBREIDINGSMODULE VOOR HET BEHEERDERS BESTAND</v>
      </c>
      <c r="F95" s="5"/>
      <c r="G95" s="5"/>
      <c r="H95" s="5"/>
      <c r="I95" s="5"/>
      <c r="J95" s="5"/>
      <c r="K95" s="5"/>
      <c r="L95" s="5" t="str">
        <f t="shared" ca="1" si="7"/>
        <v>LET OP: DEZE MODULE MAAKT GEBRUIKT VAN MACRO'S EN IS GESCHIKT VOOR MAXIMAAL nvt DEELNEMERS.</v>
      </c>
      <c r="M95" s="5"/>
      <c r="N95" s="5"/>
      <c r="O95" s="5"/>
      <c r="P95" s="5"/>
      <c r="Q95" s="5"/>
      <c r="R95" s="5"/>
      <c r="S95" s="5"/>
      <c r="T95" s="5"/>
      <c r="U95" s="48"/>
      <c r="V95" s="48"/>
      <c r="W95" s="48"/>
      <c r="X95" s="616" t="s">
        <v>137</v>
      </c>
      <c r="Y95" s="595" t="str">
        <f ca="1">Taal02!$B$42</f>
        <v>ZZZ_land_H1</v>
      </c>
      <c r="Z95" s="595" t="s">
        <v>2389</v>
      </c>
      <c r="AA95" s="600" t="str">
        <f ca="1">RIGHT(LEFT(Taal02!$B$48,(ROW()-66)*2),2)</f>
        <v>H1</v>
      </c>
      <c r="AB95" s="358" t="str">
        <f t="shared" ca="1" si="1"/>
        <v>ZZZ_land_H1</v>
      </c>
      <c r="AC95" s="598" t="str">
        <f t="shared" ca="1" si="3"/>
        <v>ZE</v>
      </c>
      <c r="AD95" s="275" t="s">
        <v>137</v>
      </c>
      <c r="AE95" s="275" t="str">
        <f t="shared" ca="1" si="2"/>
        <v>ZZZ_land_H1</v>
      </c>
      <c r="AF95" s="358" t="str">
        <f t="shared" si="4"/>
        <v>ZE</v>
      </c>
      <c r="AG95" s="275" t="str">
        <f t="shared" ca="1" si="5"/>
        <v>ZZZ_land_H1</v>
      </c>
    </row>
    <row r="96" spans="2:33" hidden="1" x14ac:dyDescent="0.25">
      <c r="B96" s="5"/>
      <c r="C96" s="96" t="s">
        <v>452</v>
      </c>
      <c r="D96" s="111" t="s">
        <v>16</v>
      </c>
      <c r="E96" s="5" t="str">
        <f ca="1">$C$79</f>
        <v>EXTRA BEHEERDERSMODULE VOOR DE ORGANISATOREN</v>
      </c>
      <c r="F96" s="5"/>
      <c r="G96" s="5"/>
      <c r="H96" s="5"/>
      <c r="I96" s="5"/>
      <c r="J96" s="5"/>
      <c r="K96" s="5"/>
      <c r="L96" s="5" t="str">
        <f ca="1">$L$80</f>
        <v>LET OP: DEZE MODULE MAAKT GEBRUIK VAN MACRO'S. HET WORD GEADVISEERD OM DEZE IN TE SCHAKELEN.</v>
      </c>
      <c r="M96" s="5"/>
      <c r="N96" s="5"/>
      <c r="O96" s="5"/>
      <c r="P96" s="5"/>
      <c r="Q96" s="5"/>
      <c r="R96" s="5"/>
      <c r="S96" s="5"/>
      <c r="T96" s="5"/>
      <c r="U96" s="48"/>
      <c r="V96" s="48"/>
      <c r="W96" s="48"/>
      <c r="X96" s="616" t="s">
        <v>138</v>
      </c>
      <c r="Y96" s="595" t="str">
        <f ca="1">Taal02!$B$43</f>
        <v>ZZZ_land_H2</v>
      </c>
      <c r="Z96" s="595" t="s">
        <v>2387</v>
      </c>
      <c r="AA96" s="600" t="str">
        <f ca="1">RIGHT(LEFT(Taal02!$B$48,(ROW()-66)*2),2)</f>
        <v>H2</v>
      </c>
      <c r="AB96" s="358" t="str">
        <f t="shared" ca="1" si="1"/>
        <v>ZZZ_land_H2</v>
      </c>
      <c r="AC96" s="598" t="str">
        <f t="shared" ca="1" si="3"/>
        <v>ZF</v>
      </c>
      <c r="AD96" s="275" t="s">
        <v>138</v>
      </c>
      <c r="AE96" s="275" t="str">
        <f t="shared" ca="1" si="2"/>
        <v>ZZZ_land_H2</v>
      </c>
      <c r="AF96" s="358" t="str">
        <f t="shared" si="4"/>
        <v>ZF</v>
      </c>
      <c r="AG96" s="275" t="str">
        <f t="shared" ca="1" si="5"/>
        <v>ZZZ_land_H2</v>
      </c>
    </row>
    <row r="97" spans="2:33" hidden="1" x14ac:dyDescent="0.25">
      <c r="B97" s="5"/>
      <c r="C97" s="96" t="s">
        <v>453</v>
      </c>
      <c r="D97" s="111" t="s">
        <v>16</v>
      </c>
      <c r="E97" s="5" t="str">
        <f ca="1">$C$84&amp;" "&amp;$P$65&amp;"#"</f>
        <v>UPDATE VOOR DE EXCEL EK-POOL NAAR VERSIE 24.00#</v>
      </c>
      <c r="F97" s="5"/>
      <c r="G97" s="5"/>
      <c r="H97" s="5"/>
      <c r="I97" s="5"/>
      <c r="J97" s="5"/>
      <c r="K97" s="5"/>
      <c r="L97" s="5" t="str">
        <f ca="1">$L$80</f>
        <v>LET OP: DEZE MODULE MAAKT GEBRUIK VAN MACRO'S. HET WORD GEADVISEERD OM DEZE IN TE SCHAKELEN.</v>
      </c>
      <c r="M97" s="5"/>
      <c r="N97" s="5"/>
      <c r="O97" s="5"/>
      <c r="P97" s="5"/>
      <c r="Q97" s="5"/>
      <c r="R97" s="5"/>
      <c r="S97" s="5"/>
      <c r="T97" s="5"/>
      <c r="U97" s="48"/>
      <c r="V97" s="48"/>
      <c r="W97" s="48"/>
      <c r="X97" s="616" t="s">
        <v>139</v>
      </c>
      <c r="Y97" s="595" t="str">
        <f ca="1">Taal02!$B$44</f>
        <v>ZZZ_land_H3</v>
      </c>
      <c r="Z97" s="595" t="s">
        <v>2388</v>
      </c>
      <c r="AA97" s="600" t="str">
        <f ca="1">RIGHT(LEFT(Taal02!$B$48,(ROW()-66)*2),2)</f>
        <v>H3</v>
      </c>
      <c r="AB97" s="358" t="str">
        <f t="shared" ca="1" si="1"/>
        <v>ZZZ_land_H3</v>
      </c>
      <c r="AC97" s="598" t="str">
        <f t="shared" ca="1" si="3"/>
        <v>ZG</v>
      </c>
      <c r="AD97" s="275" t="s">
        <v>139</v>
      </c>
      <c r="AE97" s="275" t="str">
        <f t="shared" ca="1" si="2"/>
        <v>ZZZ_land_H3</v>
      </c>
      <c r="AF97" s="358" t="str">
        <f t="shared" si="4"/>
        <v>ZG</v>
      </c>
      <c r="AG97" s="275" t="str">
        <f t="shared" ca="1" si="5"/>
        <v>ZZZ_land_H3</v>
      </c>
    </row>
    <row r="98" spans="2:33" hidden="1" x14ac:dyDescent="0.25">
      <c r="B98" s="5"/>
      <c r="C98" s="96" t="s">
        <v>454</v>
      </c>
      <c r="D98" s="111" t="s">
        <v>16</v>
      </c>
      <c r="E98" s="5" t="str">
        <f ca="1">UPPER(Taal01!$B$26)</f>
        <v>HELPBESTAND VOOR EXCEL-POOL.NL</v>
      </c>
      <c r="F98" s="5"/>
      <c r="G98" s="5"/>
      <c r="H98" s="5"/>
      <c r="I98" s="5"/>
      <c r="J98" s="5"/>
      <c r="K98" s="5"/>
      <c r="L98" s="5" t="str">
        <f>""</f>
        <v/>
      </c>
      <c r="M98" s="5"/>
      <c r="N98" s="5"/>
      <c r="O98" s="5"/>
      <c r="P98" s="5"/>
      <c r="Q98" s="5"/>
      <c r="R98" s="5"/>
      <c r="S98" s="5"/>
      <c r="T98" s="5"/>
      <c r="U98" s="48"/>
      <c r="V98" s="48"/>
      <c r="W98" s="48"/>
      <c r="X98" s="616" t="s">
        <v>140</v>
      </c>
      <c r="Y98" s="595" t="str">
        <f ca="1">Taal02!$B$45</f>
        <v>ZZZ_land_H4</v>
      </c>
      <c r="Z98" s="595" t="s">
        <v>2390</v>
      </c>
      <c r="AA98" s="600" t="str">
        <f ca="1">RIGHT(LEFT(Taal02!$B$48,(ROW()-66)*2),2)</f>
        <v>H4</v>
      </c>
      <c r="AB98" s="358" t="str">
        <f t="shared" ca="1" si="1"/>
        <v>ZZZ_land_H4</v>
      </c>
      <c r="AC98" s="598" t="str">
        <f t="shared" ca="1" si="3"/>
        <v>ZH</v>
      </c>
      <c r="AD98" s="275" t="s">
        <v>140</v>
      </c>
      <c r="AE98" s="275" t="str">
        <f t="shared" ca="1" si="2"/>
        <v>ZZZ_land_H4</v>
      </c>
      <c r="AF98" s="358" t="str">
        <f t="shared" si="4"/>
        <v>ZH</v>
      </c>
      <c r="AG98" s="275" t="str">
        <f t="shared" ca="1" si="5"/>
        <v>ZZZ_land_H4</v>
      </c>
    </row>
    <row r="99" spans="2:33" hidden="1" x14ac:dyDescent="0.25">
      <c r="B99" s="5"/>
      <c r="C99" s="5"/>
      <c r="D99" s="5"/>
      <c r="E99" s="5"/>
      <c r="F99" s="5"/>
      <c r="G99" s="5"/>
      <c r="H99" s="5"/>
      <c r="I99" s="5"/>
      <c r="J99" s="5"/>
      <c r="K99" s="5"/>
      <c r="L99" s="5"/>
      <c r="M99" s="5"/>
      <c r="N99" s="5"/>
      <c r="O99" s="5"/>
      <c r="P99" s="5"/>
      <c r="Q99" s="5"/>
      <c r="R99" s="5"/>
      <c r="S99" s="5"/>
      <c r="T99" s="5"/>
      <c r="U99" s="48"/>
      <c r="V99" s="48"/>
      <c r="W99" s="48"/>
      <c r="X99" s="358" t="s">
        <v>413</v>
      </c>
      <c r="Y99" s="48"/>
      <c r="Z99" s="596"/>
      <c r="AA99" s="1034" t="s">
        <v>384</v>
      </c>
      <c r="AB99" s="1035"/>
      <c r="AC99" s="1050"/>
      <c r="AD99" s="1034" t="s">
        <v>385</v>
      </c>
      <c r="AE99" s="1035"/>
      <c r="AF99" s="1035"/>
      <c r="AG99" s="1035"/>
    </row>
  </sheetData>
  <sheetProtection algorithmName="SHA-512" hashValue="NLeyCI6R2AvGG7ect4s8Msuf5EhWt4Wce6RYIukmsUHy5w+nDUoUh8cBBtfas4n3X9tbiPNmJ93yQRGKh/rQvQ==" saltValue="aqvxnIr40E55GrffjlM7hQ==" spinCount="100000" sheet="1" objects="1" scenarios="1" selectLockedCells="1"/>
  <mergeCells count="12">
    <mergeCell ref="V2:Z4"/>
    <mergeCell ref="AD99:AG99"/>
    <mergeCell ref="K45:L45"/>
    <mergeCell ref="C5:S10"/>
    <mergeCell ref="D13:R14"/>
    <mergeCell ref="C15:S15"/>
    <mergeCell ref="AA99:AC99"/>
    <mergeCell ref="I65:J65"/>
    <mergeCell ref="J43:M44"/>
    <mergeCell ref="Q72:T72"/>
    <mergeCell ref="J73:K73"/>
    <mergeCell ref="J74:K74"/>
  </mergeCells>
  <conditionalFormatting sqref="R3 D17:D18 D62 R62">
    <cfRule type="expression" dxfId="84" priority="21">
      <formula>$A$1="A255255255"</formula>
    </cfRule>
    <cfRule type="expression" dxfId="83" priority="22">
      <formula>$A$1="A000000000"</formula>
    </cfRule>
  </conditionalFormatting>
  <dataValidations count="1">
    <dataValidation type="list" allowBlank="1" showInputMessage="1" showErrorMessage="1" sqref="W7" xr:uid="{00000000-0002-0000-0500-000000000000}">
      <formula1>OFFSET(W67,0,0,COUNTA(W67:W76)-0)</formula1>
    </dataValidation>
  </dataValidations>
  <printOptions horizontalCentered="1" verticalCentered="1"/>
  <pageMargins left="0.25" right="0.25" top="0.5" bottom="0.5" header="0.31496062992125984" footer="0.31496062992125984"/>
  <pageSetup paperSize="9" scale="80"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02">
    <tabColor rgb="FF0050A0"/>
  </sheetPr>
  <dimension ref="A1:Z140"/>
  <sheetViews>
    <sheetView showRowColHeaders="0" zoomScaleNormal="100" workbookViewId="0"/>
  </sheetViews>
  <sheetFormatPr defaultColWidth="9.140625" defaultRowHeight="15" x14ac:dyDescent="0.25"/>
  <cols>
    <col min="1"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0.140625" style="44" customWidth="1"/>
    <col min="17" max="17" width="4.7109375" style="44" customWidth="1"/>
    <col min="18" max="21" width="12.7109375" style="44" hidden="1" customWidth="1"/>
    <col min="22" max="22" width="9.140625" style="44" customWidth="1"/>
    <col min="23" max="23" width="10.5703125" style="44" bestFit="1" customWidth="1"/>
    <col min="24" max="16384" width="9.140625" style="44"/>
  </cols>
  <sheetData>
    <row r="1" spans="1:26"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1075"/>
      <c r="P1" s="1075"/>
      <c r="R1" s="1082"/>
      <c r="S1" s="1082"/>
      <c r="T1" s="5"/>
      <c r="U1" s="5"/>
    </row>
    <row r="2" spans="1:26" ht="15" customHeight="1" x14ac:dyDescent="0.25">
      <c r="B2" s="105"/>
      <c r="C2" s="1076" t="str">
        <f>IF(Q82*Q83*Q84=1,IF(Q85=Q86,"","DE INGEVOERDE REGLEMENTCODE IS NIET GELDIG VOOR HET HUIDIGE FORMULIER"),Voorblad!L81)</f>
        <v/>
      </c>
      <c r="D2" s="1076"/>
      <c r="E2" s="1076"/>
      <c r="F2" s="1076"/>
      <c r="G2" s="1076"/>
      <c r="H2" s="1076"/>
      <c r="I2" s="1076"/>
      <c r="J2" s="1076"/>
      <c r="K2" s="1076"/>
      <c r="L2" s="1076"/>
      <c r="M2" s="1076"/>
      <c r="N2" s="1076"/>
      <c r="O2" s="1057"/>
      <c r="P2" s="1057"/>
      <c r="R2" s="1082"/>
      <c r="S2" s="1082"/>
      <c r="T2" s="5"/>
      <c r="U2" s="5"/>
      <c r="V2" s="1033" t="str">
        <f ca="1">Taal01!$B$37</f>
        <v>Reglement</v>
      </c>
      <c r="W2" s="1033"/>
      <c r="X2" s="1033"/>
      <c r="Y2" s="1033"/>
      <c r="Z2" s="1033"/>
    </row>
    <row r="3" spans="1:26" ht="15" customHeight="1" x14ac:dyDescent="0.25">
      <c r="B3" s="17"/>
      <c r="C3" s="974"/>
      <c r="D3" s="988" t="str">
        <f ca="1">IF(Q81=1,Taal03!B6,"")&amp;IF(N81*Q81=1," "&amp;SUBSTITUTE(Taal03!B7,"#",1),"")</f>
        <v>Het Algemeen Reglement (pagina 1)</v>
      </c>
      <c r="E3" s="976"/>
      <c r="F3" s="976"/>
      <c r="G3" s="976"/>
      <c r="H3" s="976"/>
      <c r="I3" s="976"/>
      <c r="J3" s="976"/>
      <c r="K3" s="976"/>
      <c r="L3" s="976"/>
      <c r="M3" s="984" t="str">
        <f ca="1">IF(H93="","",Taal01!$B$6&amp;": "&amp;SUBSTITUTE(H93,"*#"," "))</f>
        <v>EURO 2024: Jamilo EK-pool</v>
      </c>
      <c r="N3" s="978"/>
      <c r="O3" s="17"/>
      <c r="P3" s="92" t="s">
        <v>2498</v>
      </c>
      <c r="R3" s="1082"/>
      <c r="S3" s="1082"/>
      <c r="T3" s="5"/>
      <c r="U3" s="5"/>
      <c r="V3" s="1033"/>
      <c r="W3" s="1033"/>
      <c r="X3" s="1033"/>
      <c r="Y3" s="1033"/>
      <c r="Z3" s="1033"/>
    </row>
    <row r="4" spans="1:26" ht="15" customHeight="1" x14ac:dyDescent="0.25">
      <c r="B4" s="17"/>
      <c r="C4" s="17"/>
      <c r="D4" s="17"/>
      <c r="E4" s="17"/>
      <c r="F4" s="17"/>
      <c r="G4" s="17"/>
      <c r="H4" s="17"/>
      <c r="I4" s="17"/>
      <c r="J4" s="17"/>
      <c r="K4" s="17"/>
      <c r="L4" s="17"/>
      <c r="M4" s="17"/>
      <c r="N4" s="17"/>
      <c r="O4" s="1057"/>
      <c r="P4" s="1057"/>
      <c r="R4" s="5"/>
      <c r="S4" s="5"/>
      <c r="T4" s="5"/>
      <c r="U4" s="5"/>
      <c r="V4" s="1033"/>
      <c r="W4" s="1033"/>
      <c r="X4" s="1033"/>
      <c r="Y4" s="1033"/>
      <c r="Z4" s="1033"/>
    </row>
    <row r="5" spans="1:26" ht="15" customHeight="1" x14ac:dyDescent="0.25">
      <c r="B5" s="17"/>
      <c r="C5" s="974"/>
      <c r="D5" s="988" t="str">
        <f ca="1">IF(Q81=1,Taal03!B8,"")</f>
        <v>De Regels</v>
      </c>
      <c r="E5" s="976"/>
      <c r="F5" s="976"/>
      <c r="G5" s="976"/>
      <c r="H5" s="976"/>
      <c r="I5" s="976"/>
      <c r="J5" s="976"/>
      <c r="K5" s="976"/>
      <c r="L5" s="976"/>
      <c r="M5" s="976"/>
      <c r="N5" s="978"/>
      <c r="O5" s="1057"/>
      <c r="P5" s="1057"/>
      <c r="R5" s="38" t="str">
        <f ca="1">H92&amp;" "&amp;I92</f>
        <v>10 juni</v>
      </c>
      <c r="S5" s="49" t="s">
        <v>49</v>
      </c>
      <c r="T5" s="5"/>
      <c r="U5" s="5"/>
    </row>
    <row r="6" spans="1:26" ht="14.1" customHeight="1" x14ac:dyDescent="0.25">
      <c r="B6" s="17"/>
      <c r="C6" s="949"/>
      <c r="D6" s="17"/>
      <c r="E6" s="17"/>
      <c r="F6" s="17"/>
      <c r="G6" s="17"/>
      <c r="H6" s="17"/>
      <c r="I6" s="17"/>
      <c r="J6" s="17"/>
      <c r="K6" s="17"/>
      <c r="L6" s="17"/>
      <c r="M6" s="17"/>
      <c r="N6" s="60"/>
      <c r="O6" s="1057"/>
      <c r="P6" s="1057"/>
      <c r="R6" s="38" t="str">
        <f>IF(F82="","NEE",H91)</f>
        <v>JA</v>
      </c>
      <c r="S6" s="49" t="s">
        <v>78</v>
      </c>
      <c r="T6" s="5"/>
      <c r="U6" s="5"/>
    </row>
    <row r="7" spans="1:26" ht="14.1" customHeight="1" x14ac:dyDescent="0.25">
      <c r="B7" s="17"/>
      <c r="C7" s="949"/>
      <c r="D7" s="1077" t="str">
        <f ca="1">SUBSTITUTE(SUBSTITUTE(SUBSTITUTE(SUBSTITUTE(IF(R7="JA",Taal03!B9,Taal03!B10),"$$$",SUBSTITUTE(H94,"*#"," ")),"&amp;&amp;&amp;",H95),"###",R5),"() ","")</f>
        <v>De Deelnamecode en/of het Deelname Formulier dienen voor 10 juni ingeleverd te worden bij Jamilo (info@jamilo.nl).</v>
      </c>
      <c r="E7" s="1077"/>
      <c r="F7" s="1077"/>
      <c r="G7" s="1077"/>
      <c r="H7" s="1077"/>
      <c r="I7" s="1077"/>
      <c r="J7" s="1077"/>
      <c r="K7" s="1077"/>
      <c r="L7" s="1077"/>
      <c r="M7" s="1077"/>
      <c r="N7" s="60"/>
      <c r="O7" s="1057"/>
      <c r="P7" s="1057"/>
      <c r="R7" s="38" t="str">
        <f>IF(F82="","NEE",IF(G94="00","NEE","JA"))</f>
        <v>JA</v>
      </c>
      <c r="S7" s="49" t="s">
        <v>80</v>
      </c>
      <c r="T7" s="5"/>
      <c r="U7" s="5"/>
    </row>
    <row r="8" spans="1:26" ht="14.1" customHeight="1" x14ac:dyDescent="0.25">
      <c r="B8" s="17"/>
      <c r="C8" s="949"/>
      <c r="D8" s="1077"/>
      <c r="E8" s="1077"/>
      <c r="F8" s="1077"/>
      <c r="G8" s="1077"/>
      <c r="H8" s="1077"/>
      <c r="I8" s="1077"/>
      <c r="J8" s="1077"/>
      <c r="K8" s="1077"/>
      <c r="L8" s="1077"/>
      <c r="M8" s="1077"/>
      <c r="N8" s="60"/>
      <c r="O8" s="1057"/>
      <c r="P8" s="1057"/>
      <c r="R8" s="38" t="str">
        <f>IF(F82="","NEE",IF(G95="00","NEE","JA"))</f>
        <v>JA</v>
      </c>
      <c r="S8" s="49" t="s">
        <v>79</v>
      </c>
      <c r="T8" s="5"/>
      <c r="U8" s="5"/>
    </row>
    <row r="9" spans="1:26" ht="9.9499999999999993" customHeight="1" x14ac:dyDescent="0.25">
      <c r="B9" s="17"/>
      <c r="C9" s="949"/>
      <c r="D9" s="1077"/>
      <c r="E9" s="1077"/>
      <c r="F9" s="1077"/>
      <c r="G9" s="1077"/>
      <c r="H9" s="1077"/>
      <c r="I9" s="1077"/>
      <c r="J9" s="1077"/>
      <c r="K9" s="1077"/>
      <c r="L9" s="1077"/>
      <c r="M9" s="1077"/>
      <c r="N9" s="60"/>
      <c r="O9" s="1057"/>
      <c r="P9" s="1057"/>
      <c r="R9" s="5"/>
      <c r="S9" s="68"/>
      <c r="T9" s="5"/>
      <c r="U9" s="5"/>
    </row>
    <row r="10" spans="1:26" ht="14.1" customHeight="1" x14ac:dyDescent="0.25">
      <c r="B10" s="17"/>
      <c r="C10" s="949"/>
      <c r="D10" s="1077" t="e">
        <f ca="1">IF(R10="geen",Taal03!B15,SUBSTITUTE(IF(H106=0,Taal03!B16,IF(C98= "NEE",Taal03!B17,Taal03!B18)),"###",FIXED(M106,2))&amp;" "&amp;IF(R71=RIGHT(S71,2),Taal03!B19,Taal03!B20))</f>
        <v>#VALUE!</v>
      </c>
      <c r="E10" s="1077"/>
      <c r="F10" s="1077"/>
      <c r="G10" s="1077"/>
      <c r="H10" s="1077"/>
      <c r="I10" s="1077"/>
      <c r="J10" s="1077"/>
      <c r="K10" s="1077"/>
      <c r="L10" s="1077"/>
      <c r="M10" s="1077"/>
      <c r="N10" s="1078"/>
      <c r="O10" s="1057"/>
      <c r="P10" s="1057"/>
      <c r="R10" s="38" t="str">
        <f>IF(H91="JA","wel","geen")</f>
        <v>wel</v>
      </c>
      <c r="S10" s="49" t="s">
        <v>48</v>
      </c>
      <c r="T10" s="5"/>
      <c r="U10" s="5"/>
    </row>
    <row r="11" spans="1:26" ht="9.9499999999999993" customHeight="1" x14ac:dyDescent="0.25">
      <c r="B11" s="17"/>
      <c r="C11" s="949"/>
      <c r="D11" s="1077"/>
      <c r="E11" s="1077"/>
      <c r="F11" s="1077"/>
      <c r="G11" s="1077"/>
      <c r="H11" s="1077"/>
      <c r="I11" s="1077"/>
      <c r="J11" s="1077"/>
      <c r="K11" s="1077"/>
      <c r="L11" s="1077"/>
      <c r="M11" s="1077"/>
      <c r="N11" s="1078"/>
      <c r="O11" s="1057"/>
      <c r="P11" s="1057"/>
      <c r="R11" s="5"/>
      <c r="S11" s="68"/>
      <c r="T11" s="5"/>
      <c r="U11" s="5"/>
    </row>
    <row r="12" spans="1:26" ht="14.1" customHeight="1" x14ac:dyDescent="0.25">
      <c r="B12" s="17"/>
      <c r="C12" s="949"/>
      <c r="D12" s="1077" t="str">
        <f ca="1">IF(R12="wel",Taal03!B21,Taal03!B22)</f>
        <v>Het is niet toegestaan om als deelnemer meerdere deelname formulieren in te leveren.</v>
      </c>
      <c r="E12" s="1077"/>
      <c r="F12" s="1077"/>
      <c r="G12" s="1077"/>
      <c r="H12" s="1077"/>
      <c r="I12" s="1077"/>
      <c r="J12" s="1077"/>
      <c r="K12" s="1077"/>
      <c r="L12" s="1077"/>
      <c r="M12" s="1077"/>
      <c r="N12" s="60"/>
      <c r="O12" s="1057"/>
      <c r="P12" s="1057"/>
      <c r="R12" s="38" t="str">
        <f>IF(H89="JA","wel","niet")</f>
        <v>niet</v>
      </c>
      <c r="S12" s="49" t="s">
        <v>47</v>
      </c>
      <c r="T12" s="5"/>
      <c r="U12" s="5"/>
    </row>
    <row r="13" spans="1:26" ht="9.9499999999999993" customHeight="1" x14ac:dyDescent="0.25">
      <c r="B13" s="17"/>
      <c r="C13" s="949"/>
      <c r="D13" s="1077"/>
      <c r="E13" s="1077"/>
      <c r="F13" s="1077"/>
      <c r="G13" s="1077"/>
      <c r="H13" s="1077"/>
      <c r="I13" s="1077"/>
      <c r="J13" s="1077"/>
      <c r="K13" s="1077"/>
      <c r="L13" s="1077"/>
      <c r="M13" s="1077"/>
      <c r="N13" s="60"/>
      <c r="O13" s="1057"/>
      <c r="P13" s="1057"/>
      <c r="R13" s="5"/>
      <c r="S13" s="68"/>
      <c r="T13" s="5"/>
      <c r="U13" s="5"/>
    </row>
    <row r="14" spans="1:26" ht="14.1" customHeight="1" x14ac:dyDescent="0.25">
      <c r="B14" s="17"/>
      <c r="C14" s="949"/>
      <c r="D14" s="1077" t="str">
        <f ca="1">Taal03!B13</f>
        <v>Na de start van de openingsceremonie is het niet meer mogelijk om uw voorspellingen aan te passen.</v>
      </c>
      <c r="E14" s="1077"/>
      <c r="F14" s="1077"/>
      <c r="G14" s="1077"/>
      <c r="H14" s="1077"/>
      <c r="I14" s="1077"/>
      <c r="J14" s="1077"/>
      <c r="K14" s="1077"/>
      <c r="L14" s="1077"/>
      <c r="M14" s="1077"/>
      <c r="N14" s="60"/>
      <c r="O14" s="411"/>
      <c r="P14" s="411"/>
      <c r="R14" s="5"/>
      <c r="S14" s="68"/>
      <c r="T14" s="5"/>
      <c r="U14" s="5"/>
    </row>
    <row r="15" spans="1:26" ht="9.9499999999999993" customHeight="1" x14ac:dyDescent="0.25">
      <c r="B15" s="17"/>
      <c r="C15" s="949"/>
      <c r="D15" s="1077"/>
      <c r="E15" s="1077"/>
      <c r="F15" s="1077"/>
      <c r="G15" s="1077"/>
      <c r="H15" s="1077"/>
      <c r="I15" s="1077"/>
      <c r="J15" s="1077"/>
      <c r="K15" s="1077"/>
      <c r="L15" s="1077"/>
      <c r="M15" s="1077"/>
      <c r="N15" s="60"/>
      <c r="O15" s="411"/>
      <c r="P15" s="411"/>
      <c r="R15" s="5"/>
      <c r="S15" s="68"/>
      <c r="T15" s="5"/>
      <c r="U15" s="5"/>
    </row>
    <row r="16" spans="1:26" ht="14.1" customHeight="1" x14ac:dyDescent="0.25">
      <c r="B16" s="17"/>
      <c r="C16" s="949"/>
      <c r="D16" s="1077" t="str">
        <f ca="1">IF(G134="JA",Taal03!B23,Taal03!B24)</f>
        <v>Het is niet mogelijk om uitslagen te voorspellen waarin één land meer dan 9 doelpunten maakt. Wanneer een land toch meer dan 9 doelpunten maakt tijdens één wedstrijd zal bij de uitslag 9 doelpunten genoteerd worden.</v>
      </c>
      <c r="E16" s="1077"/>
      <c r="F16" s="1077"/>
      <c r="G16" s="1077"/>
      <c r="H16" s="1077"/>
      <c r="I16" s="1077"/>
      <c r="J16" s="1077"/>
      <c r="K16" s="1077"/>
      <c r="L16" s="1077"/>
      <c r="M16" s="1077"/>
      <c r="N16" s="60"/>
      <c r="O16" s="1057"/>
      <c r="P16" s="1057"/>
      <c r="R16" s="5"/>
      <c r="S16" s="594"/>
      <c r="T16" s="5"/>
      <c r="U16" s="5"/>
    </row>
    <row r="17" spans="1:21" ht="14.1" customHeight="1" x14ac:dyDescent="0.25">
      <c r="B17" s="17"/>
      <c r="C17" s="949"/>
      <c r="D17" s="1077"/>
      <c r="E17" s="1077"/>
      <c r="F17" s="1077"/>
      <c r="G17" s="1077"/>
      <c r="H17" s="1077"/>
      <c r="I17" s="1077"/>
      <c r="J17" s="1077"/>
      <c r="K17" s="1077"/>
      <c r="L17" s="1077"/>
      <c r="M17" s="1077"/>
      <c r="N17" s="60"/>
      <c r="O17" s="1057"/>
      <c r="P17" s="1057"/>
      <c r="R17" s="5"/>
      <c r="S17" s="235"/>
      <c r="T17" s="5"/>
      <c r="U17" s="5"/>
    </row>
    <row r="18" spans="1:21" ht="9.9499999999999993" customHeight="1" x14ac:dyDescent="0.25">
      <c r="B18" s="17"/>
      <c r="C18" s="949"/>
      <c r="D18" s="1077"/>
      <c r="E18" s="1077"/>
      <c r="F18" s="1077"/>
      <c r="G18" s="1077"/>
      <c r="H18" s="1077"/>
      <c r="I18" s="1077"/>
      <c r="J18" s="1077"/>
      <c r="K18" s="1077"/>
      <c r="L18" s="1077"/>
      <c r="M18" s="1077"/>
      <c r="N18" s="60"/>
      <c r="O18" s="1057"/>
      <c r="P18" s="1057"/>
      <c r="R18" s="5"/>
      <c r="S18" s="10"/>
      <c r="T18" s="5"/>
      <c r="U18" s="5"/>
    </row>
    <row r="19" spans="1:21" ht="14.1" customHeight="1" x14ac:dyDescent="0.25">
      <c r="B19" s="17"/>
      <c r="C19" s="949"/>
      <c r="D19" s="1077" t="str">
        <f ca="1">IF(R19=1,Taal03!B25,Taal03!B26)&amp;" "&amp;Taal03!B27</f>
        <v>In de finalewedstrijden wordt de uitslag aangehouden die bereikt is na het verstrijken van de reguliere speeltijd inclusief de blessuretijd. Een gelijkspel in de finalewedstrijden is dus ook mogelijk.</v>
      </c>
      <c r="E19" s="1077"/>
      <c r="F19" s="1077"/>
      <c r="G19" s="1077"/>
      <c r="H19" s="1077"/>
      <c r="I19" s="1077"/>
      <c r="J19" s="1077"/>
      <c r="K19" s="1077"/>
      <c r="L19" s="1077"/>
      <c r="M19" s="1077"/>
      <c r="N19" s="60"/>
      <c r="O19" s="1057"/>
      <c r="P19" s="1057"/>
      <c r="R19" s="38">
        <f>H90</f>
        <v>1</v>
      </c>
      <c r="S19" s="49" t="s">
        <v>451</v>
      </c>
      <c r="T19" s="5"/>
      <c r="U19" s="5"/>
    </row>
    <row r="20" spans="1:21" ht="14.1" customHeight="1" x14ac:dyDescent="0.25">
      <c r="B20" s="17"/>
      <c r="C20" s="949"/>
      <c r="D20" s="1077"/>
      <c r="E20" s="1077"/>
      <c r="F20" s="1077"/>
      <c r="G20" s="1077"/>
      <c r="H20" s="1077"/>
      <c r="I20" s="1077"/>
      <c r="J20" s="1077"/>
      <c r="K20" s="1077"/>
      <c r="L20" s="1077"/>
      <c r="M20" s="1077"/>
      <c r="N20" s="60"/>
      <c r="O20" s="1057"/>
      <c r="P20" s="1057"/>
      <c r="R20" s="5"/>
      <c r="S20" s="10"/>
      <c r="T20" s="5"/>
      <c r="U20" s="5"/>
    </row>
    <row r="21" spans="1:21" ht="9.9499999999999993" customHeight="1" x14ac:dyDescent="0.25">
      <c r="B21" s="17"/>
      <c r="C21" s="949"/>
      <c r="D21" s="1077"/>
      <c r="E21" s="1077"/>
      <c r="F21" s="1077"/>
      <c r="G21" s="1077"/>
      <c r="H21" s="1077"/>
      <c r="I21" s="1077"/>
      <c r="J21" s="1077"/>
      <c r="K21" s="1077"/>
      <c r="L21" s="1077"/>
      <c r="M21" s="1077"/>
      <c r="N21" s="60"/>
      <c r="O21" s="1057"/>
      <c r="P21" s="1057"/>
      <c r="R21" s="5"/>
      <c r="S21" s="10"/>
      <c r="T21" s="5"/>
      <c r="U21" s="5"/>
    </row>
    <row r="22" spans="1:21" ht="14.1" customHeight="1" x14ac:dyDescent="0.25">
      <c r="B22" s="17"/>
      <c r="C22" s="949"/>
      <c r="D22" s="1077" t="str">
        <f ca="1">Taal03!B28</f>
        <v>In gevallen waar het reglement niet in voorziet, beslist de wedstrijdleiding.</v>
      </c>
      <c r="E22" s="1077"/>
      <c r="F22" s="1077"/>
      <c r="G22" s="1077"/>
      <c r="H22" s="1077"/>
      <c r="I22" s="1077"/>
      <c r="J22" s="1077"/>
      <c r="K22" s="1077"/>
      <c r="L22" s="1077"/>
      <c r="M22" s="1077"/>
      <c r="N22" s="60"/>
      <c r="O22" s="1057"/>
      <c r="P22" s="1057"/>
      <c r="R22" s="5"/>
      <c r="S22" s="10"/>
      <c r="T22" s="5"/>
      <c r="U22" s="5"/>
    </row>
    <row r="23" spans="1:21" ht="9.9499999999999993" customHeight="1" x14ac:dyDescent="0.25">
      <c r="B23" s="17"/>
      <c r="C23" s="949"/>
      <c r="D23" s="1077"/>
      <c r="E23" s="1077"/>
      <c r="F23" s="1077"/>
      <c r="G23" s="1077"/>
      <c r="H23" s="1077"/>
      <c r="I23" s="1077"/>
      <c r="J23" s="1077"/>
      <c r="K23" s="1077"/>
      <c r="L23" s="1077"/>
      <c r="M23" s="1077"/>
      <c r="N23" s="60"/>
      <c r="O23" s="1057"/>
      <c r="P23" s="1057"/>
      <c r="R23" s="1095" t="str">
        <f ca="1">SUBSTITUTE(S26&amp;S27&amp;S28&amp;S29&amp;S30&amp;S31&amp;S32&amp;S33&amp;S34&amp;S35&amp;S36&amp;S37&amp;S38&amp;S39&amp;S40&amp;S41&amp;S42&amp;S43&amp;S44&amp;S45&amp;S46&amp;S47&amp;S48&amp;S49&amp;S50&amp;S51&amp;S52&amp;S53&amp;S54&amp;S55&amp;S56&amp;S57&amp;S58&amp;S59&amp;S60&amp;S61&amp;S62&amp;S63&amp;S64&amp;S65&amp;S66&amp;S67&amp;S68&amp;S69,999,"")</f>
        <v>100101900102104105106900107108109110111900200201202204900300301401403404900</v>
      </c>
      <c r="S23" s="1095"/>
      <c r="T23" s="1095"/>
      <c r="U23" s="1095"/>
    </row>
    <row r="24" spans="1:21" ht="14.1" customHeight="1" x14ac:dyDescent="0.25">
      <c r="B24" s="17"/>
      <c r="C24" s="949"/>
      <c r="D24" s="1077" t="str">
        <f ca="1">Taal03!B29</f>
        <v>Door het inleveren van het deelname formulier gaat u akkoord met dit wedstrijdreglement.</v>
      </c>
      <c r="E24" s="1077"/>
      <c r="F24" s="1077"/>
      <c r="G24" s="1077"/>
      <c r="H24" s="1077"/>
      <c r="I24" s="1077"/>
      <c r="J24" s="1077"/>
      <c r="K24" s="1077"/>
      <c r="L24" s="1077"/>
      <c r="M24" s="1077"/>
      <c r="N24" s="60"/>
      <c r="O24" s="1057"/>
      <c r="P24" s="1057"/>
      <c r="R24" s="1095"/>
      <c r="S24" s="1095"/>
      <c r="T24" s="1095"/>
      <c r="U24" s="1095"/>
    </row>
    <row r="25" spans="1:21" ht="14.1" customHeight="1" x14ac:dyDescent="0.25">
      <c r="B25" s="17"/>
      <c r="C25" s="950"/>
      <c r="D25" s="1108"/>
      <c r="E25" s="1108"/>
      <c r="F25" s="1108"/>
      <c r="G25" s="1108"/>
      <c r="H25" s="1108"/>
      <c r="I25" s="1108"/>
      <c r="J25" s="1108"/>
      <c r="K25" s="1108"/>
      <c r="L25" s="1108"/>
      <c r="M25" s="1108"/>
      <c r="N25" s="952"/>
      <c r="O25" s="1057"/>
      <c r="P25" s="1057"/>
      <c r="R25" s="1095"/>
      <c r="S25" s="1095"/>
      <c r="T25" s="1095"/>
      <c r="U25" s="1095"/>
    </row>
    <row r="26" spans="1:21" ht="15" customHeight="1" x14ac:dyDescent="0.25">
      <c r="B26" s="17"/>
      <c r="C26" s="17"/>
      <c r="D26" s="17"/>
      <c r="E26" s="17"/>
      <c r="F26" s="17"/>
      <c r="G26" s="17"/>
      <c r="H26" s="17"/>
      <c r="I26" s="17"/>
      <c r="J26" s="17"/>
      <c r="K26" s="17"/>
      <c r="L26" s="17"/>
      <c r="M26" s="17"/>
      <c r="N26" s="17"/>
      <c r="O26" s="1057"/>
      <c r="P26" s="1057"/>
      <c r="R26" s="236"/>
      <c r="S26" s="594">
        <f ca="1">IF(U26="",999,100)</f>
        <v>100</v>
      </c>
      <c r="T26" s="10" t="str">
        <f>""</f>
        <v/>
      </c>
      <c r="U26" s="184" t="str">
        <f ca="1">UPPER(Taal03!B54)</f>
        <v>HET VOORSPELLEN VAN DE LANDEN IN DE FINALEWEDSTRIJDEN</v>
      </c>
    </row>
    <row r="27" spans="1:21" ht="15" customHeight="1" x14ac:dyDescent="0.25">
      <c r="B27" s="17"/>
      <c r="C27" s="974"/>
      <c r="D27" s="988" t="str">
        <f ca="1">IF(Q81=1,Taal03!B49,"")</f>
        <v>De Puntentelling</v>
      </c>
      <c r="E27" s="976"/>
      <c r="F27" s="976"/>
      <c r="G27" s="976"/>
      <c r="H27" s="976"/>
      <c r="I27" s="976"/>
      <c r="J27" s="976"/>
      <c r="K27" s="976"/>
      <c r="L27" s="976"/>
      <c r="M27" s="976"/>
      <c r="N27" s="978"/>
      <c r="O27" s="1057"/>
      <c r="P27" s="1057"/>
      <c r="R27" s="236"/>
      <c r="S27" s="10">
        <f ca="1">IF(U27="",999,101)</f>
        <v>101</v>
      </c>
      <c r="T27" s="10">
        <f>IF($Q$81=0,0,$H$117)</f>
        <v>30</v>
      </c>
      <c r="U27" s="5" t="str">
        <f ca="1">IF($Q$81=0,"",IF($H$117=1,Taal03!B$50,Taal03!B$51)&amp;" "&amp;Taal03!B57)</f>
        <v>Punten voor het goed voorspellen van de winnaar van het EK.</v>
      </c>
    </row>
    <row r="28" spans="1:21" ht="14.1" customHeight="1" x14ac:dyDescent="0.25">
      <c r="B28" s="17"/>
      <c r="C28" s="947"/>
      <c r="D28" s="16"/>
      <c r="E28" s="16"/>
      <c r="F28" s="16"/>
      <c r="G28" s="16"/>
      <c r="H28" s="16"/>
      <c r="I28" s="16"/>
      <c r="J28" s="16"/>
      <c r="K28" s="16"/>
      <c r="L28" s="16"/>
      <c r="M28" s="16"/>
      <c r="N28" s="948"/>
      <c r="O28" s="1057"/>
      <c r="P28" s="1057"/>
      <c r="R28" s="236"/>
      <c r="S28" s="10">
        <f ca="1">IF(U26="",999,900)</f>
        <v>900</v>
      </c>
      <c r="T28" s="10" t="str">
        <f>""</f>
        <v/>
      </c>
      <c r="U28" s="10" t="str">
        <f>""</f>
        <v/>
      </c>
    </row>
    <row r="29" spans="1:21" ht="14.1" customHeight="1" x14ac:dyDescent="0.25">
      <c r="A29" s="392">
        <v>3</v>
      </c>
      <c r="B29" s="17"/>
      <c r="C29" s="949"/>
      <c r="D29" s="57" t="str">
        <f t="shared" ref="D29:D68" ca="1" si="0">VLOOKUP($R29,$S$26:$U$69,2,FALSE)</f>
        <v/>
      </c>
      <c r="E29" s="1057" t="str">
        <f t="shared" ref="E29:E68" ca="1" si="1">VLOOKUP($R29,$S$26:$U$69,3,FALSE)</f>
        <v>HET VOORSPELLEN VAN DE LANDEN IN DE FINALEWEDSTRIJDEN</v>
      </c>
      <c r="F29" s="1057"/>
      <c r="G29" s="1057"/>
      <c r="H29" s="1057"/>
      <c r="I29" s="1057"/>
      <c r="J29" s="1057"/>
      <c r="K29" s="1057"/>
      <c r="L29" s="1057"/>
      <c r="M29" s="1057"/>
      <c r="N29" s="1058"/>
      <c r="O29" s="411"/>
      <c r="P29" s="411"/>
      <c r="R29" s="10">
        <f t="shared" ref="R29:R68" ca="1" si="2">IF(LEN($R$23)&lt;$A29,900,RIGHT(LEFT($R$23,$A29),3))*1</f>
        <v>100</v>
      </c>
      <c r="S29" s="10">
        <f ca="1">IF(U29="",999,102)</f>
        <v>102</v>
      </c>
      <c r="T29" s="10">
        <f>IF($Q$81=0,0,$H$118)</f>
        <v>22</v>
      </c>
      <c r="U29" s="5" t="str">
        <f ca="1">IF($Q$81=0,"",IF($H$118=1,Taal03!B$50,Taal03!B$51)&amp;" "&amp;Taal03!B58&amp;" ("&amp;IF($G$130="C",Taal03!B$55,Taal03!B$56)&amp;").")</f>
        <v>Punten voor elk goed voorspelde land in de finale (het land dient op de juiste positie te staan).</v>
      </c>
    </row>
    <row r="30" spans="1:21" ht="14.1" customHeight="1" x14ac:dyDescent="0.25">
      <c r="A30" s="392">
        <f>A29+3</f>
        <v>6</v>
      </c>
      <c r="B30" s="17"/>
      <c r="C30" s="949"/>
      <c r="D30" s="57">
        <f t="shared" ca="1" si="0"/>
        <v>30</v>
      </c>
      <c r="E30" s="1057" t="str">
        <f t="shared" ca="1" si="1"/>
        <v>Punten voor het goed voorspellen van de winnaar van het EK.</v>
      </c>
      <c r="F30" s="1057"/>
      <c r="G30" s="1057"/>
      <c r="H30" s="1057"/>
      <c r="I30" s="1057"/>
      <c r="J30" s="1057"/>
      <c r="K30" s="1057"/>
      <c r="L30" s="1057"/>
      <c r="M30" s="1057"/>
      <c r="N30" s="1058"/>
      <c r="O30" s="411"/>
      <c r="P30" s="411"/>
      <c r="R30" s="10">
        <f t="shared" ca="1" si="2"/>
        <v>101</v>
      </c>
      <c r="S30" s="10">
        <f>IF(OR(U30="",C119="NEE"),999,103)</f>
        <v>999</v>
      </c>
      <c r="T30" s="10">
        <f>IF(OR($Q$81=0,$C$119="NEE"),0,$H$119)</f>
        <v>0</v>
      </c>
      <c r="U30" s="5" t="str">
        <f>IF(OR($Q$81=0,$C$119="NEE"),"",IF($H$119=1,Taal03!B$50,Taal03!B$51)&amp;" "&amp;Taal03!B59&amp;" ("&amp;IF($G$130="C",Taal03!B$55,Taal03!B$56)&amp;").")</f>
        <v/>
      </c>
    </row>
    <row r="31" spans="1:21" ht="14.1" customHeight="1" x14ac:dyDescent="0.25">
      <c r="A31" s="392">
        <f t="shared" ref="A31:A68" si="3">A30+3</f>
        <v>9</v>
      </c>
      <c r="B31" s="17"/>
      <c r="C31" s="949"/>
      <c r="D31" s="57" t="str">
        <f t="shared" ca="1" si="0"/>
        <v/>
      </c>
      <c r="E31" s="1057" t="str">
        <f t="shared" ca="1" si="1"/>
        <v/>
      </c>
      <c r="F31" s="1057"/>
      <c r="G31" s="1057"/>
      <c r="H31" s="1057"/>
      <c r="I31" s="1057"/>
      <c r="J31" s="1057"/>
      <c r="K31" s="1057"/>
      <c r="L31" s="1057"/>
      <c r="M31" s="1057"/>
      <c r="N31" s="1058"/>
      <c r="O31" s="411"/>
      <c r="P31" s="411"/>
      <c r="R31" s="10">
        <f t="shared" ca="1" si="2"/>
        <v>900</v>
      </c>
      <c r="S31" s="10">
        <f ca="1">IF(U31="",999,104)</f>
        <v>104</v>
      </c>
      <c r="T31" s="10">
        <f>IF($Q$81=0,0,$H$120)</f>
        <v>16</v>
      </c>
      <c r="U31" s="5" t="str">
        <f ca="1">IF($Q$81=0,"",IF($H$120=1,Taal03!B$50,Taal03!B$51)&amp;" "&amp;Taal03!B60&amp;" ("&amp;IF($G$130="C",Taal03!B$55,Taal03!B$56)&amp;").")</f>
        <v>Punten voor elk goed voorspelde land in de halve finales (het land dient op de juiste positie te staan).</v>
      </c>
    </row>
    <row r="32" spans="1:21" ht="14.1" customHeight="1" x14ac:dyDescent="0.25">
      <c r="A32" s="392">
        <f t="shared" si="3"/>
        <v>12</v>
      </c>
      <c r="B32" s="17"/>
      <c r="C32" s="949"/>
      <c r="D32" s="57">
        <f t="shared" ca="1" si="0"/>
        <v>22</v>
      </c>
      <c r="E32" s="1057" t="str">
        <f t="shared" ca="1" si="1"/>
        <v>Punten voor elk goed voorspelde land in de finale (het land dient op de juiste positie te staan).</v>
      </c>
      <c r="F32" s="1057"/>
      <c r="G32" s="1057"/>
      <c r="H32" s="1057"/>
      <c r="I32" s="1057"/>
      <c r="J32" s="1057"/>
      <c r="K32" s="1057"/>
      <c r="L32" s="1057"/>
      <c r="M32" s="1057"/>
      <c r="N32" s="1058"/>
      <c r="O32" s="411"/>
      <c r="P32" s="411"/>
      <c r="R32" s="10">
        <f t="shared" ca="1" si="2"/>
        <v>102</v>
      </c>
      <c r="S32" s="10">
        <f ca="1">IF(U32="",999,105)</f>
        <v>105</v>
      </c>
      <c r="T32" s="10">
        <f>IF($Q$81=0,0,$H$121)</f>
        <v>10</v>
      </c>
      <c r="U32" s="5" t="str">
        <f ca="1">IF($Q$81=0,"",IF($H$121=1,Taal03!B$50,Taal03!B$51)&amp;" "&amp;Taal03!B61&amp;" ("&amp;IF($G$130="C",Taal03!B$55,Taal03!B$56)&amp;").")</f>
        <v>Punten voor elk goed voorspelde land in de kwartfinales (het land dient op de juiste positie te staan).</v>
      </c>
    </row>
    <row r="33" spans="1:21" ht="14.1" customHeight="1" x14ac:dyDescent="0.25">
      <c r="A33" s="392">
        <f t="shared" si="3"/>
        <v>15</v>
      </c>
      <c r="B33" s="17"/>
      <c r="C33" s="949"/>
      <c r="D33" s="57">
        <f t="shared" ca="1" si="0"/>
        <v>16</v>
      </c>
      <c r="E33" s="1057" t="str">
        <f t="shared" ca="1" si="1"/>
        <v>Punten voor elk goed voorspelde land in de halve finales (het land dient op de juiste positie te staan).</v>
      </c>
      <c r="F33" s="1057"/>
      <c r="G33" s="1057"/>
      <c r="H33" s="1057"/>
      <c r="I33" s="1057"/>
      <c r="J33" s="1057"/>
      <c r="K33" s="1057"/>
      <c r="L33" s="1057"/>
      <c r="M33" s="1057"/>
      <c r="N33" s="1058"/>
      <c r="O33" s="411"/>
      <c r="P33" s="411"/>
      <c r="R33" s="10">
        <f t="shared" ca="1" si="2"/>
        <v>104</v>
      </c>
      <c r="S33" s="10">
        <f ca="1">IF(U33="",999,106)</f>
        <v>106</v>
      </c>
      <c r="T33" s="10">
        <f>IF($Q$81=0,0,$H$122)</f>
        <v>4</v>
      </c>
      <c r="U33" s="5" t="str">
        <f ca="1">IF($Q$81=0,"",IF($H$122=1,Taal03!B$50,Taal03!B$51)&amp;" "&amp;Taal03!B62&amp;" ("&amp;IF($G$130="C",Taal03!B$55,Taal03!B$56)&amp;").")</f>
        <v>Punten voor elk goed voorspelde land in de achtste finales (het land dient op de juiste positie te staan).</v>
      </c>
    </row>
    <row r="34" spans="1:21" ht="14.1" customHeight="1" x14ac:dyDescent="0.25">
      <c r="A34" s="392">
        <f t="shared" si="3"/>
        <v>18</v>
      </c>
      <c r="B34" s="17"/>
      <c r="C34" s="949"/>
      <c r="D34" s="57">
        <f t="shared" ca="1" si="0"/>
        <v>10</v>
      </c>
      <c r="E34" s="1057" t="str">
        <f t="shared" ca="1" si="1"/>
        <v>Punten voor elk goed voorspelde land in de kwartfinales (het land dient op de juiste positie te staan).</v>
      </c>
      <c r="F34" s="1057"/>
      <c r="G34" s="1057"/>
      <c r="H34" s="1057"/>
      <c r="I34" s="1057"/>
      <c r="J34" s="1057"/>
      <c r="K34" s="1057"/>
      <c r="L34" s="1057"/>
      <c r="M34" s="1057"/>
      <c r="N34" s="1058"/>
      <c r="O34" s="411"/>
      <c r="P34" s="411"/>
      <c r="R34" s="10">
        <f t="shared" ca="1" si="2"/>
        <v>105</v>
      </c>
      <c r="S34" s="10">
        <f ca="1">IF(U26="",999,900)</f>
        <v>900</v>
      </c>
      <c r="T34" s="10" t="str">
        <f>""</f>
        <v/>
      </c>
      <c r="U34" s="10" t="str">
        <f>""</f>
        <v/>
      </c>
    </row>
    <row r="35" spans="1:21" ht="14.1" customHeight="1" x14ac:dyDescent="0.25">
      <c r="A35" s="392">
        <f t="shared" si="3"/>
        <v>21</v>
      </c>
      <c r="B35" s="17"/>
      <c r="C35" s="949"/>
      <c r="D35" s="57">
        <f t="shared" ca="1" si="0"/>
        <v>4</v>
      </c>
      <c r="E35" s="1057" t="str">
        <f t="shared" ca="1" si="1"/>
        <v>Punten voor elk goed voorspelde land in de achtste finales (het land dient op de juiste positie te staan).</v>
      </c>
      <c r="F35" s="1057"/>
      <c r="G35" s="1057"/>
      <c r="H35" s="1057"/>
      <c r="I35" s="1057"/>
      <c r="J35" s="1057"/>
      <c r="K35" s="1057"/>
      <c r="L35" s="1057"/>
      <c r="M35" s="1057"/>
      <c r="N35" s="1058"/>
      <c r="O35" s="411"/>
      <c r="P35" s="411"/>
      <c r="R35" s="10">
        <f t="shared" ca="1" si="2"/>
        <v>106</v>
      </c>
      <c r="S35" s="10">
        <f ca="1">IF(U35="",999,107)</f>
        <v>107</v>
      </c>
      <c r="T35" s="10" t="str">
        <f>IF(OR($Q$81=0,$G$130="A"),"","-")</f>
        <v>-</v>
      </c>
      <c r="U35" s="5" t="str">
        <f ca="1">IF(OR($Q$81=0,$G$130="A"),"",Taal03!B63)</f>
        <v>Heeft men het land niet op de juiste positie voorspeld maar het heeft wel de betreffende finaleronde</v>
      </c>
    </row>
    <row r="36" spans="1:21" ht="14.1" customHeight="1" x14ac:dyDescent="0.25">
      <c r="A36" s="392">
        <f t="shared" si="3"/>
        <v>24</v>
      </c>
      <c r="B36" s="17"/>
      <c r="C36" s="949"/>
      <c r="D36" s="57" t="str">
        <f t="shared" ca="1" si="0"/>
        <v/>
      </c>
      <c r="E36" s="1057" t="str">
        <f t="shared" ca="1" si="1"/>
        <v/>
      </c>
      <c r="F36" s="1057"/>
      <c r="G36" s="1057"/>
      <c r="H36" s="1057"/>
      <c r="I36" s="1057"/>
      <c r="J36" s="1057"/>
      <c r="K36" s="1057"/>
      <c r="L36" s="1057"/>
      <c r="M36" s="1057"/>
      <c r="N36" s="1058"/>
      <c r="O36" s="411"/>
      <c r="P36" s="411"/>
      <c r="R36" s="10">
        <f t="shared" ca="1" si="2"/>
        <v>900</v>
      </c>
      <c r="S36" s="10">
        <f ca="1">IF(U36="",999,108)</f>
        <v>108</v>
      </c>
      <c r="T36" s="10" t="str">
        <f>""</f>
        <v/>
      </c>
      <c r="U36" s="5" t="str">
        <f ca="1">IF(OR($Q$81=0,$G$130="A"),"",IF($G$130="B",Taal03!B64,Taal03!B65))</f>
        <v>behaald dan ontvangt men alsnog de helft van het aantal punten voor het juist voorspellen van het land.</v>
      </c>
    </row>
    <row r="37" spans="1:21" ht="14.1" customHeight="1" x14ac:dyDescent="0.25">
      <c r="A37" s="392">
        <f t="shared" si="3"/>
        <v>27</v>
      </c>
      <c r="B37" s="17"/>
      <c r="C37" s="949"/>
      <c r="D37" s="57" t="str">
        <f t="shared" ca="1" si="0"/>
        <v>-</v>
      </c>
      <c r="E37" s="1057" t="str">
        <f t="shared" ca="1" si="1"/>
        <v>Heeft men het land niet op de juiste positie voorspeld maar het heeft wel de betreffende finaleronde</v>
      </c>
      <c r="F37" s="1057"/>
      <c r="G37" s="1057"/>
      <c r="H37" s="1057"/>
      <c r="I37" s="1057"/>
      <c r="J37" s="1057"/>
      <c r="K37" s="1057"/>
      <c r="L37" s="1057"/>
      <c r="M37" s="1057"/>
      <c r="N37" s="1058"/>
      <c r="O37" s="411"/>
      <c r="P37" s="411"/>
      <c r="R37" s="10">
        <f t="shared" ca="1" si="2"/>
        <v>107</v>
      </c>
      <c r="S37" s="10">
        <f ca="1">IF(U37="",999,109)</f>
        <v>109</v>
      </c>
      <c r="T37" s="234" t="str">
        <f>"-"</f>
        <v>-</v>
      </c>
      <c r="U37" s="5" t="str">
        <f ca="1">IF($Q$81=0,"",IF(OR($G$130="B",$G$130="C"),Taal03!B66,Taal03!B67))</f>
        <v>Het is niet toegestaan om een land meerdere keren te voorspellen in één finaleronde.</v>
      </c>
    </row>
    <row r="38" spans="1:21" ht="14.1" customHeight="1" x14ac:dyDescent="0.25">
      <c r="A38" s="392">
        <f t="shared" si="3"/>
        <v>30</v>
      </c>
      <c r="B38" s="17"/>
      <c r="C38" s="949"/>
      <c r="D38" s="57" t="str">
        <f t="shared" ca="1" si="0"/>
        <v/>
      </c>
      <c r="E38" s="1057" t="str">
        <f t="shared" ca="1" si="1"/>
        <v>behaald dan ontvangt men alsnog de helft van het aantal punten voor het juist voorspellen van het land.</v>
      </c>
      <c r="F38" s="1057"/>
      <c r="G38" s="1057"/>
      <c r="H38" s="1057"/>
      <c r="I38" s="1057"/>
      <c r="J38" s="1057"/>
      <c r="K38" s="1057"/>
      <c r="L38" s="1057"/>
      <c r="M38" s="1057"/>
      <c r="N38" s="1058"/>
      <c r="O38" s="411"/>
      <c r="P38" s="411"/>
      <c r="R38" s="10">
        <f t="shared" ca="1" si="2"/>
        <v>108</v>
      </c>
      <c r="S38" s="10">
        <f ca="1">IF(U38="",999,110)</f>
        <v>110</v>
      </c>
      <c r="T38" s="234" t="str">
        <f>"-"</f>
        <v>-</v>
      </c>
      <c r="U38" s="5" t="str">
        <f ca="1">IF($Q$81=0,"",Taal03!B68)</f>
        <v>Punten voor het goed voorspellen van een land in de finaleronden worden pas meegeteld op het moment dat</v>
      </c>
    </row>
    <row r="39" spans="1:21" ht="14.1" customHeight="1" x14ac:dyDescent="0.25">
      <c r="A39" s="392">
        <f t="shared" si="3"/>
        <v>33</v>
      </c>
      <c r="B39" s="17"/>
      <c r="C39" s="949"/>
      <c r="D39" s="57" t="str">
        <f t="shared" ca="1" si="0"/>
        <v>-</v>
      </c>
      <c r="E39" s="1057" t="str">
        <f t="shared" ca="1" si="1"/>
        <v>Het is niet toegestaan om een land meerdere keren te voorspellen in één finaleronde.</v>
      </c>
      <c r="F39" s="1057"/>
      <c r="G39" s="1057"/>
      <c r="H39" s="1057"/>
      <c r="I39" s="1057"/>
      <c r="J39" s="1057"/>
      <c r="K39" s="1057"/>
      <c r="L39" s="1057"/>
      <c r="M39" s="1057"/>
      <c r="N39" s="1058"/>
      <c r="O39" s="411"/>
      <c r="P39" s="411"/>
      <c r="R39" s="10">
        <f t="shared" ca="1" si="2"/>
        <v>109</v>
      </c>
      <c r="S39" s="10">
        <f ca="1">IF(U39="",999,111)</f>
        <v>111</v>
      </c>
      <c r="T39" s="10" t="str">
        <f>""</f>
        <v/>
      </c>
      <c r="U39" s="5" t="str">
        <f ca="1">IF($Q$81=0,"",IF(OR($G$130="B",$G$130="C"),Taal03!B70,Taal03!B69))</f>
        <v>de uitslag van de betreffende wedstrijd bekend is of als het voorspelde land zijn wedstrijd heeft gespeeld.</v>
      </c>
    </row>
    <row r="40" spans="1:21" ht="14.1" customHeight="1" x14ac:dyDescent="0.25">
      <c r="A40" s="392">
        <f t="shared" si="3"/>
        <v>36</v>
      </c>
      <c r="B40" s="17"/>
      <c r="C40" s="949"/>
      <c r="D40" s="57" t="str">
        <f t="shared" ca="1" si="0"/>
        <v>-</v>
      </c>
      <c r="E40" s="1057" t="str">
        <f t="shared" ca="1" si="1"/>
        <v>Punten voor het goed voorspellen van een land in de finaleronden worden pas meegeteld op het moment dat</v>
      </c>
      <c r="F40" s="1057"/>
      <c r="G40" s="1057"/>
      <c r="H40" s="1057"/>
      <c r="I40" s="1057"/>
      <c r="J40" s="1057"/>
      <c r="K40" s="1057"/>
      <c r="L40" s="1057"/>
      <c r="M40" s="1057"/>
      <c r="N40" s="1058"/>
      <c r="O40" s="411"/>
      <c r="P40" s="411"/>
      <c r="R40" s="10">
        <f t="shared" ca="1" si="2"/>
        <v>110</v>
      </c>
      <c r="S40" s="10">
        <f ca="1">IF(U26="",999,900)</f>
        <v>900</v>
      </c>
      <c r="T40" s="10" t="str">
        <f>""</f>
        <v/>
      </c>
      <c r="U40" s="10" t="str">
        <f>""</f>
        <v/>
      </c>
    </row>
    <row r="41" spans="1:21" ht="14.1" customHeight="1" x14ac:dyDescent="0.25">
      <c r="A41" s="392">
        <f t="shared" si="3"/>
        <v>39</v>
      </c>
      <c r="B41" s="17"/>
      <c r="C41" s="949"/>
      <c r="D41" s="57" t="str">
        <f t="shared" ca="1" si="0"/>
        <v/>
      </c>
      <c r="E41" s="1057" t="str">
        <f t="shared" ca="1" si="1"/>
        <v>de uitslag van de betreffende wedstrijd bekend is of als het voorspelde land zijn wedstrijd heeft gespeeld.</v>
      </c>
      <c r="F41" s="1057"/>
      <c r="G41" s="1057"/>
      <c r="H41" s="1057"/>
      <c r="I41" s="1057"/>
      <c r="J41" s="1057"/>
      <c r="K41" s="1057"/>
      <c r="L41" s="1057"/>
      <c r="M41" s="1057"/>
      <c r="N41" s="1058"/>
      <c r="O41" s="411"/>
      <c r="P41" s="411"/>
      <c r="R41" s="10">
        <f t="shared" ca="1" si="2"/>
        <v>111</v>
      </c>
      <c r="S41" s="594">
        <f ca="1">IF(U41="",999,200)</f>
        <v>200</v>
      </c>
      <c r="T41" s="10" t="str">
        <f>""</f>
        <v/>
      </c>
      <c r="U41" s="184" t="str">
        <f ca="1">IF(OR($Q$81=0,$G$136="NEE"),"",UPPER(Taal03!B73))</f>
        <v>HET VOORSPELLEN VAN DE EINDSTAND IN DE GROEP</v>
      </c>
    </row>
    <row r="42" spans="1:21" ht="14.1" customHeight="1" x14ac:dyDescent="0.25">
      <c r="A42" s="392">
        <f t="shared" si="3"/>
        <v>42</v>
      </c>
      <c r="B42" s="17"/>
      <c r="C42" s="949"/>
      <c r="D42" s="57" t="str">
        <f t="shared" ca="1" si="0"/>
        <v/>
      </c>
      <c r="E42" s="1057" t="str">
        <f t="shared" ca="1" si="1"/>
        <v/>
      </c>
      <c r="F42" s="1057"/>
      <c r="G42" s="1057"/>
      <c r="H42" s="1057"/>
      <c r="I42" s="1057"/>
      <c r="J42" s="1057"/>
      <c r="K42" s="1057"/>
      <c r="L42" s="1057"/>
      <c r="M42" s="1057"/>
      <c r="N42" s="1058"/>
      <c r="O42" s="411"/>
      <c r="P42" s="411"/>
      <c r="R42" s="10">
        <f t="shared" ca="1" si="2"/>
        <v>900</v>
      </c>
      <c r="S42" s="10">
        <f ca="1">IF(U42="",999,201)</f>
        <v>201</v>
      </c>
      <c r="T42" s="10">
        <f>IF(OR($Q$81=0,$G$136="NEE"),"",$H$123)</f>
        <v>5</v>
      </c>
      <c r="U42" s="5" t="str">
        <f ca="1">IF(OR($Q$81=0,$G$136="NEE"),"",IF($H$123=1,Taal03!B$50,Taal03!B$51)&amp;" "&amp;Taal03!B74)</f>
        <v>Punten voor elk goed voorspelde land bij de eindstand in de groep.</v>
      </c>
    </row>
    <row r="43" spans="1:21" ht="14.1" customHeight="1" x14ac:dyDescent="0.25">
      <c r="A43" s="392">
        <f t="shared" si="3"/>
        <v>45</v>
      </c>
      <c r="B43" s="17"/>
      <c r="C43" s="949"/>
      <c r="D43" s="57" t="str">
        <f t="shared" ca="1" si="0"/>
        <v/>
      </c>
      <c r="E43" s="1057" t="str">
        <f t="shared" ca="1" si="1"/>
        <v>HET VOORSPELLEN VAN DE EINDSTAND IN DE GROEP</v>
      </c>
      <c r="F43" s="1057"/>
      <c r="G43" s="1057"/>
      <c r="H43" s="1057"/>
      <c r="I43" s="1057"/>
      <c r="J43" s="1057"/>
      <c r="K43" s="1057"/>
      <c r="L43" s="1057"/>
      <c r="M43" s="1057"/>
      <c r="N43" s="1058"/>
      <c r="O43" s="411"/>
      <c r="P43" s="411"/>
      <c r="R43" s="10">
        <f t="shared" ca="1" si="2"/>
        <v>200</v>
      </c>
      <c r="S43" s="10">
        <f ca="1">IF(U43="",999,202)</f>
        <v>202</v>
      </c>
      <c r="T43" s="10" t="str">
        <f>IF(OR($Q$81=0,$G$136="NEE"),"","-")</f>
        <v>-</v>
      </c>
      <c r="U43" s="5" t="str">
        <f ca="1">IF(OR($Q$81=0,$G$136="NEE"),"",Taal03!B75)</f>
        <v>Elk land mag maar één keer ingevuld worden bij de voorspelling van de eindstand in de groep.</v>
      </c>
    </row>
    <row r="44" spans="1:21" ht="14.1" customHeight="1" x14ac:dyDescent="0.25">
      <c r="A44" s="392">
        <f t="shared" si="3"/>
        <v>48</v>
      </c>
      <c r="B44" s="17"/>
      <c r="C44" s="949"/>
      <c r="D44" s="57">
        <f t="shared" ca="1" si="0"/>
        <v>5</v>
      </c>
      <c r="E44" s="1057" t="str">
        <f t="shared" ca="1" si="1"/>
        <v>Punten voor elk goed voorspelde land bij de eindstand in de groep.</v>
      </c>
      <c r="F44" s="1057"/>
      <c r="G44" s="1057"/>
      <c r="H44" s="1057"/>
      <c r="I44" s="1057"/>
      <c r="J44" s="1057"/>
      <c r="K44" s="1057"/>
      <c r="L44" s="1057"/>
      <c r="M44" s="1057"/>
      <c r="N44" s="1058"/>
      <c r="O44" s="411"/>
      <c r="P44" s="411"/>
      <c r="R44" s="10">
        <f t="shared" ca="1" si="2"/>
        <v>201</v>
      </c>
      <c r="S44" s="10">
        <f ca="1">IF(U44="",999,204)</f>
        <v>204</v>
      </c>
      <c r="T44" s="10" t="str">
        <f>IF(OR($Q$81=0,$G$136="NEE"),"","-")</f>
        <v>-</v>
      </c>
      <c r="U44" s="5" t="str">
        <f ca="1">IF(OR($Q$81=0,$G$136="NEE"),"",Taal03!B76)</f>
        <v>De punten voor elke juiste voorspelling worden pas opgeteld als de laatste wedstrijd van de groep is gespeeld.</v>
      </c>
    </row>
    <row r="45" spans="1:21" ht="14.1" customHeight="1" x14ac:dyDescent="0.25">
      <c r="A45" s="392">
        <f t="shared" si="3"/>
        <v>51</v>
      </c>
      <c r="B45" s="17"/>
      <c r="C45" s="949"/>
      <c r="D45" s="57" t="str">
        <f t="shared" ca="1" si="0"/>
        <v>-</v>
      </c>
      <c r="E45" s="1057" t="str">
        <f t="shared" ca="1" si="1"/>
        <v>Elk land mag maar één keer ingevuld worden bij de voorspelling van de eindstand in de groep.</v>
      </c>
      <c r="F45" s="1057"/>
      <c r="G45" s="1057"/>
      <c r="H45" s="1057"/>
      <c r="I45" s="1057"/>
      <c r="J45" s="1057"/>
      <c r="K45" s="1057"/>
      <c r="L45" s="1057"/>
      <c r="M45" s="1057"/>
      <c r="N45" s="1058"/>
      <c r="O45" s="411"/>
      <c r="P45" s="411"/>
      <c r="R45" s="10">
        <f t="shared" ca="1" si="2"/>
        <v>202</v>
      </c>
      <c r="S45" s="10">
        <f ca="1">IF(U41="",999,900)</f>
        <v>900</v>
      </c>
      <c r="T45" s="10" t="str">
        <f>""</f>
        <v/>
      </c>
      <c r="U45" s="10" t="str">
        <f>""</f>
        <v/>
      </c>
    </row>
    <row r="46" spans="1:21" ht="14.1" customHeight="1" x14ac:dyDescent="0.25">
      <c r="A46" s="392">
        <f t="shared" si="3"/>
        <v>54</v>
      </c>
      <c r="B46" s="17"/>
      <c r="C46" s="949"/>
      <c r="D46" s="57" t="str">
        <f t="shared" ca="1" si="0"/>
        <v>-</v>
      </c>
      <c r="E46" s="1057" t="str">
        <f t="shared" ca="1" si="1"/>
        <v>De punten voor elke juiste voorspelling worden pas opgeteld als de laatste wedstrijd van de groep is gespeeld.</v>
      </c>
      <c r="F46" s="1057"/>
      <c r="G46" s="1057"/>
      <c r="H46" s="1057"/>
      <c r="I46" s="1057"/>
      <c r="J46" s="1057"/>
      <c r="K46" s="1057"/>
      <c r="L46" s="1057"/>
      <c r="M46" s="1057"/>
      <c r="N46" s="1058"/>
      <c r="O46" s="411"/>
      <c r="P46" s="411"/>
      <c r="R46" s="10">
        <f t="shared" ca="1" si="2"/>
        <v>204</v>
      </c>
      <c r="S46" s="594">
        <f ca="1">IF(U46="",999,300)</f>
        <v>300</v>
      </c>
      <c r="T46" s="10" t="str">
        <f>""</f>
        <v/>
      </c>
      <c r="U46" s="184" t="str">
        <f ca="1">IF(OR($Q$81=0,$G$135="NEE"),"",IF(AND($G$134="JA",$G$135="JA",TYPE($H$126)&lt;&gt;1),UPPER(Taal03!B109),UPPER(Taal03!B79)))</f>
        <v>HET VOORSPELLEN VAN DE TOTO EN DE EINDSTAND</v>
      </c>
    </row>
    <row r="47" spans="1:21" ht="14.1" customHeight="1" x14ac:dyDescent="0.25">
      <c r="A47" s="392">
        <f t="shared" si="3"/>
        <v>57</v>
      </c>
      <c r="B47" s="17"/>
      <c r="C47" s="949"/>
      <c r="D47" s="57" t="str">
        <f t="shared" ca="1" si="0"/>
        <v/>
      </c>
      <c r="E47" s="1057" t="str">
        <f t="shared" ca="1" si="1"/>
        <v/>
      </c>
      <c r="F47" s="1057"/>
      <c r="G47" s="1057"/>
      <c r="H47" s="1057"/>
      <c r="I47" s="1057"/>
      <c r="J47" s="1057"/>
      <c r="K47" s="1057"/>
      <c r="L47" s="1057"/>
      <c r="M47" s="1057"/>
      <c r="N47" s="1058"/>
      <c r="O47" s="411"/>
      <c r="P47" s="411"/>
      <c r="R47" s="10">
        <f t="shared" ca="1" si="2"/>
        <v>900</v>
      </c>
      <c r="S47" s="10">
        <f ca="1">IF(U47="",999,301)</f>
        <v>301</v>
      </c>
      <c r="T47" s="10">
        <f>IF(OR($Q$81=0,$G$135="NEE"),"",$H$124)</f>
        <v>3</v>
      </c>
      <c r="U47" s="5" t="str">
        <f ca="1">IF(OR($Q$81=0,$G$135="NEE"),"",IF($H$124=1,Taal03!B$50,Taal03!B$51)&amp;" "&amp;IF(AND($G$134="JA",$G$135="JA",TYPE($H$126)&lt;&gt;1),Taal03!B110,Taal03!B80))</f>
        <v>Punten voor het goed voorspellen van de TOTO (winst / verlies of gelijkspel).</v>
      </c>
    </row>
    <row r="48" spans="1:21" ht="14.1" customHeight="1" x14ac:dyDescent="0.25">
      <c r="A48" s="392">
        <f t="shared" si="3"/>
        <v>60</v>
      </c>
      <c r="B48" s="17"/>
      <c r="C48" s="949"/>
      <c r="D48" s="57" t="str">
        <f t="shared" ca="1" si="0"/>
        <v/>
      </c>
      <c r="E48" s="1057" t="str">
        <f t="shared" ca="1" si="1"/>
        <v>HET VOORSPELLEN VAN DE TOTO EN DE EINDSTAND</v>
      </c>
      <c r="F48" s="1057"/>
      <c r="G48" s="1057"/>
      <c r="H48" s="1057"/>
      <c r="I48" s="1057"/>
      <c r="J48" s="1057"/>
      <c r="K48" s="1057"/>
      <c r="L48" s="1057"/>
      <c r="M48" s="1057"/>
      <c r="N48" s="1058"/>
      <c r="O48" s="411"/>
      <c r="P48" s="411"/>
      <c r="R48" s="10">
        <f t="shared" ca="1" si="2"/>
        <v>300</v>
      </c>
      <c r="S48" s="10">
        <f>IF(U48="",999,302)</f>
        <v>999</v>
      </c>
      <c r="T48" s="10" t="str">
        <f>IF(OR($Q$81=0,$G$135="NEE",$G$137="NEE"),"",IF(AND($G$134="JA",$G$135="JA",TYPE($H$126)&lt;&gt;1),"","-"))</f>
        <v/>
      </c>
      <c r="U48" s="5" t="str">
        <f>IF(OR($Q$81=0,$G$135="NEE",$G$137="NEE"),"",IF(AND($G$134="JA",$G$135="JA",TYPE($H$126)&lt;&gt;1),"",IF($G$131="A",Taal03!B81,IF($G$131="B",Taal03!B82,Taal03!B83))))</f>
        <v/>
      </c>
    </row>
    <row r="49" spans="1:21" ht="14.1" customHeight="1" x14ac:dyDescent="0.25">
      <c r="A49" s="392">
        <f t="shared" si="3"/>
        <v>63</v>
      </c>
      <c r="B49" s="17"/>
      <c r="C49" s="949"/>
      <c r="D49" s="57">
        <f t="shared" ca="1" si="0"/>
        <v>3</v>
      </c>
      <c r="E49" s="1057" t="str">
        <f t="shared" ca="1" si="1"/>
        <v>Punten voor het goed voorspellen van de TOTO (winst / verlies of gelijkspel).</v>
      </c>
      <c r="F49" s="1057"/>
      <c r="G49" s="1057"/>
      <c r="H49" s="1057"/>
      <c r="I49" s="1057"/>
      <c r="J49" s="1057"/>
      <c r="K49" s="1057"/>
      <c r="L49" s="1057"/>
      <c r="M49" s="1057"/>
      <c r="N49" s="1058"/>
      <c r="O49" s="411"/>
      <c r="P49" s="411"/>
      <c r="R49" s="10">
        <f t="shared" ca="1" si="2"/>
        <v>301</v>
      </c>
      <c r="S49" s="10">
        <f>IF(U49="",999,303)</f>
        <v>999</v>
      </c>
      <c r="T49" s="10" t="str">
        <f>""</f>
        <v/>
      </c>
      <c r="U49" s="5" t="str">
        <f>IF(OR($Q$81=0,$G$135="NEE",$G$137="NEE"),"",IF(AND($G$134="JA",$G$135="JA",TYPE($H$126)&lt;&gt;1),"",Taal03!B84))</f>
        <v/>
      </c>
    </row>
    <row r="50" spans="1:21" ht="14.1" customHeight="1" x14ac:dyDescent="0.25">
      <c r="A50" s="392">
        <f t="shared" si="3"/>
        <v>66</v>
      </c>
      <c r="B50" s="17"/>
      <c r="C50" s="949"/>
      <c r="D50" s="57">
        <f t="shared" ca="1" si="0"/>
        <v>1</v>
      </c>
      <c r="E50" s="1057" t="str">
        <f t="shared" ca="1" si="1"/>
        <v>Punt voor het goed voorspellen van het aantal gescoorde doelpunten per spelend team.</v>
      </c>
      <c r="F50" s="1057"/>
      <c r="G50" s="1057"/>
      <c r="H50" s="1057"/>
      <c r="I50" s="1057"/>
      <c r="J50" s="1057"/>
      <c r="K50" s="1057"/>
      <c r="L50" s="1057"/>
      <c r="M50" s="1057"/>
      <c r="N50" s="1058"/>
      <c r="O50" s="411"/>
      <c r="P50" s="411"/>
      <c r="R50" s="10">
        <f t="shared" ca="1" si="2"/>
        <v>401</v>
      </c>
      <c r="S50" s="10">
        <f ca="1">IF(OR(U46="",AND($G$134="JA",$G$135="JA",TYPE($H$126)&lt;&gt;1)),999,900)</f>
        <v>999</v>
      </c>
      <c r="T50" s="10" t="str">
        <f>""</f>
        <v/>
      </c>
      <c r="U50" s="10" t="str">
        <f>""</f>
        <v/>
      </c>
    </row>
    <row r="51" spans="1:21" ht="14.1" customHeight="1" x14ac:dyDescent="0.25">
      <c r="A51" s="392">
        <f t="shared" si="3"/>
        <v>69</v>
      </c>
      <c r="B51" s="17"/>
      <c r="C51" s="949"/>
      <c r="D51" s="57" t="str">
        <f t="shared" ca="1" si="0"/>
        <v>-</v>
      </c>
      <c r="E51" s="1057" t="str">
        <f t="shared" ca="1" si="1"/>
        <v>Bij de finalewedstrijden is het niet noodzakelijk om de landen juist voorspeld te hebben om aanspraak te maken</v>
      </c>
      <c r="F51" s="1057"/>
      <c r="G51" s="1057"/>
      <c r="H51" s="1057"/>
      <c r="I51" s="1057"/>
      <c r="J51" s="1057"/>
      <c r="K51" s="1057"/>
      <c r="L51" s="1057"/>
      <c r="M51" s="1057"/>
      <c r="N51" s="1058"/>
      <c r="O51" s="411"/>
      <c r="P51" s="411"/>
      <c r="R51" s="10">
        <f t="shared" ca="1" si="2"/>
        <v>403</v>
      </c>
      <c r="S51" s="594">
        <f>IF(U51="",999,400)</f>
        <v>999</v>
      </c>
      <c r="T51" s="10" t="str">
        <f>""</f>
        <v/>
      </c>
      <c r="U51" s="184" t="str">
        <f>IF(OR($Q$81=0,$G$134="NEE"),"",IF(AND($G$134="JA",$G$135="JA",TYPE($H$126)&lt;&gt;1),"",UPPER(Taal03!B87)))</f>
        <v/>
      </c>
    </row>
    <row r="52" spans="1:21" ht="14.1" customHeight="1" x14ac:dyDescent="0.25">
      <c r="A52" s="392">
        <f t="shared" si="3"/>
        <v>72</v>
      </c>
      <c r="B52" s="17"/>
      <c r="C52" s="949"/>
      <c r="D52" s="57" t="str">
        <f t="shared" ca="1" si="0"/>
        <v/>
      </c>
      <c r="E52" s="1057" t="str">
        <f t="shared" ca="1" si="1"/>
        <v>op de punten voor het juist voorspellen van de TOTO en/of eindstand.</v>
      </c>
      <c r="F52" s="1057"/>
      <c r="G52" s="1057"/>
      <c r="H52" s="1057"/>
      <c r="I52" s="1057"/>
      <c r="J52" s="1057"/>
      <c r="K52" s="1057"/>
      <c r="L52" s="1057"/>
      <c r="M52" s="1057"/>
      <c r="N52" s="1058"/>
      <c r="O52" s="411"/>
      <c r="P52" s="411"/>
      <c r="R52" s="10">
        <f t="shared" ca="1" si="2"/>
        <v>404</v>
      </c>
      <c r="S52" s="10">
        <f ca="1">IF(U52="",999,401)</f>
        <v>401</v>
      </c>
      <c r="T52" s="10">
        <f>IF(OR($Q$81=0,$G$134="NEE",TYPE($H$126)=1),"",$H$125)</f>
        <v>1</v>
      </c>
      <c r="U52" s="5" t="str">
        <f ca="1">IF(OR($Q$81=0,$G$134="NEE",TYPE($H$126)=1,T52=0),"",IF($H$125=1,Taal03!B$50,Taal03!B$51)&amp;" "&amp;IF(AND($G$134="JA",$G$135="JA"),IF($H$132="NEE",Taal03!B111,Taal03!B112),IF($H$132="NEE",Taal03!B88,Taal03!B89)))</f>
        <v>Punt voor het goed voorspellen van het aantal gescoorde doelpunten per spelend team.</v>
      </c>
    </row>
    <row r="53" spans="1:21" ht="14.1" customHeight="1" x14ac:dyDescent="0.25">
      <c r="A53" s="392">
        <f t="shared" si="3"/>
        <v>75</v>
      </c>
      <c r="B53" s="17"/>
      <c r="C53" s="949"/>
      <c r="D53" s="57" t="str">
        <f t="shared" ca="1" si="0"/>
        <v/>
      </c>
      <c r="E53" s="1057" t="str">
        <f t="shared" ca="1" si="1"/>
        <v/>
      </c>
      <c r="F53" s="1057"/>
      <c r="G53" s="1057"/>
      <c r="H53" s="1057"/>
      <c r="I53" s="1057"/>
      <c r="J53" s="1057"/>
      <c r="K53" s="1057"/>
      <c r="L53" s="1057"/>
      <c r="M53" s="1057"/>
      <c r="N53" s="1058"/>
      <c r="O53" s="411"/>
      <c r="P53" s="411"/>
      <c r="R53" s="10">
        <f t="shared" ca="1" si="2"/>
        <v>900</v>
      </c>
      <c r="S53" s="10">
        <f>IF(U53="",999,402)</f>
        <v>999</v>
      </c>
      <c r="T53" s="10" t="str">
        <f>""</f>
        <v/>
      </c>
      <c r="U53" s="5" t="str">
        <f>IF(OR($Q$81=0,$G$134="NEE",$H$132="NEE",TYPE($H$126)=1,T52=0),"",IF(AND($G$134="JA",$G$135="JA"),Taal03!B113,Taal03!B90))</f>
        <v/>
      </c>
    </row>
    <row r="54" spans="1:21" ht="14.1" customHeight="1" x14ac:dyDescent="0.25">
      <c r="A54" s="392">
        <f t="shared" si="3"/>
        <v>78</v>
      </c>
      <c r="B54" s="17"/>
      <c r="C54" s="949"/>
      <c r="D54" s="57" t="str">
        <f t="shared" ca="1" si="0"/>
        <v/>
      </c>
      <c r="E54" s="1057" t="str">
        <f t="shared" ca="1" si="1"/>
        <v/>
      </c>
      <c r="F54" s="1057"/>
      <c r="G54" s="1057"/>
      <c r="H54" s="1057"/>
      <c r="I54" s="1057"/>
      <c r="J54" s="1057"/>
      <c r="K54" s="1057"/>
      <c r="L54" s="1057"/>
      <c r="M54" s="1057"/>
      <c r="N54" s="1058"/>
      <c r="O54" s="411"/>
      <c r="P54" s="411"/>
      <c r="R54" s="10">
        <f t="shared" ca="1" si="2"/>
        <v>900</v>
      </c>
      <c r="S54" s="10">
        <f ca="1">IF(U54="",999,403)</f>
        <v>403</v>
      </c>
      <c r="T54" s="10" t="str">
        <f>IF(OR($Q$81=0,$G$134="NEE"),"",IF(AND($G$134="JA",TYPE($H$126)=1),$H$126,IF(AND($G$137="JA",$G$138="JA"),"-","")))</f>
        <v>-</v>
      </c>
      <c r="U54" s="5" t="str">
        <f ca="1">IF(OR($Q$81=0,$G$134="NEE"),"",IF(AND($G$134="JA",TYPE($H$126)=1),IF($H$126=1,Taal03!B$50,Taal03!B$51)&amp;" "&amp;IF(AND($G$131="B",$G$133="B"),Taal03!B92,Taal03!B91),IF(AND($G$137="JA",$G$138="JA",TYPE($H$126)&lt;&gt;1),IF(OR($G$131="A",AND($H$124=0,$G$133="A")),Taal03!B114,IF($G$131="B",Taal03!B115,IF(AND($H$124=0,$G$133="B"),Taal03!B119,Taal03!B116))),"")))</f>
        <v>Bij de finalewedstrijden is het niet noodzakelijk om de landen juist voorspeld te hebben om aanspraak te maken</v>
      </c>
    </row>
    <row r="55" spans="1:21" ht="14.1" customHeight="1" x14ac:dyDescent="0.25">
      <c r="A55" s="392">
        <f t="shared" si="3"/>
        <v>81</v>
      </c>
      <c r="B55" s="17"/>
      <c r="C55" s="949"/>
      <c r="D55" s="57" t="str">
        <f t="shared" ca="1" si="0"/>
        <v/>
      </c>
      <c r="E55" s="1057" t="str">
        <f t="shared" ca="1" si="1"/>
        <v/>
      </c>
      <c r="F55" s="1057"/>
      <c r="G55" s="1057"/>
      <c r="H55" s="1057"/>
      <c r="I55" s="1057"/>
      <c r="J55" s="1057"/>
      <c r="K55" s="1057"/>
      <c r="L55" s="1057"/>
      <c r="M55" s="1057"/>
      <c r="N55" s="1058"/>
      <c r="O55" s="411"/>
      <c r="P55" s="411"/>
      <c r="R55" s="10">
        <f t="shared" ca="1" si="2"/>
        <v>900</v>
      </c>
      <c r="S55" s="10">
        <f ca="1">IF(U55="",999,404)</f>
        <v>404</v>
      </c>
      <c r="T55" s="10" t="str">
        <f>""</f>
        <v/>
      </c>
      <c r="U55" s="296" t="str">
        <f ca="1">IF(OR($Q$81=0,$G$134="NEE"),"",IF(AND($G$134="JA",TYPE($H$126)=1),"  ●  "&amp;SUBSTITUTE(SUBSTITUTE(IF(OR(AND($G$131="B",$G$133="B"),AND($G$135="NEE",$G$133="B")),IF($H$132="JA",Taal03!B93,Taal03!B94),IF($H$132="JA",Taal03!B95,Taal03!B96)),"###",$H$125*IF(OR(AND($G$131="B",$G$133="B"),AND($G$135="NEE",$G$133="B")),1,2)),"$$$",LOWER(IF(AND($G$131="B",$G$133="B",$H$125=1),Taal03!$B$50,Taal03!$B$51))),IF(AND($G$137="JA",$G$138="JA",TYPE($H$126)&lt;&gt;1),IF(AND($G$131="B",$G$133="B"),Taal03!B118,IF(H125&gt;0,IF(H124=0,IF($G$133="A",Taal03!B120,""),Taal03!B117),Taal03!B118)),"")))</f>
        <v>op de punten voor het juist voorspellen van de TOTO en/of eindstand.</v>
      </c>
    </row>
    <row r="56" spans="1:21" ht="14.1" customHeight="1" x14ac:dyDescent="0.25">
      <c r="A56" s="392">
        <f t="shared" si="3"/>
        <v>84</v>
      </c>
      <c r="B56" s="17"/>
      <c r="C56" s="949"/>
      <c r="D56" s="57" t="str">
        <f t="shared" ca="1" si="0"/>
        <v/>
      </c>
      <c r="E56" s="1057" t="str">
        <f t="shared" ca="1" si="1"/>
        <v/>
      </c>
      <c r="F56" s="1057"/>
      <c r="G56" s="1057"/>
      <c r="H56" s="1057"/>
      <c r="I56" s="1057"/>
      <c r="J56" s="1057"/>
      <c r="K56" s="1057"/>
      <c r="L56" s="1057"/>
      <c r="M56" s="1057"/>
      <c r="N56" s="1058"/>
      <c r="O56" s="411"/>
      <c r="P56" s="411"/>
      <c r="R56" s="10">
        <f t="shared" ca="1" si="2"/>
        <v>900</v>
      </c>
      <c r="S56" s="10">
        <f>IF(U56="",999,405)</f>
        <v>999</v>
      </c>
      <c r="T56" s="10" t="str">
        <f>IF(OR($Q$81=0,$G$137="NEE"),"",IF(AND($G$134="JA",$G$138="JA",G131="B",G133="B"),"-",""))</f>
        <v/>
      </c>
      <c r="U56" s="296" t="str">
        <f>IF(OR($Q$81=0,$G$134="NEE",$G$138="NEE"),"",IF(AND($G$134="JA",TYPE($H$126)=1),"  ●  "&amp;SUBSTITUTE(SUBSTITUTE(IF(OR($G$131="A",AND($G$135="NEE",$G$133= "A")),IF($H$132="JA",Taal03!B97,Taal03!B98),IF(AND($G$131="B",$G$133="A"),IF($H$132="JA",Taal03!B99,Taal03!B100),IF(OR($G$131="B",AND($G$135="NEE",$G$133= "B")),IF($H$132="JA",Taal03!B101,Taal03!B102),IF($H$132="JA",Taal03!B103,Taal03!B104)))),"###",$H$125*IF(OR(AND($G$131="B",$G$133="B"),AND($G$135="NEE",$G$133= "B")),1,2)),"$$$",LOWER(IF(AND($G$131="B",$G$133="B",$H$125=1),Taal03!$B$50,Taal03!$B$51))),IF(AND($G$137="JA",$G$138="JA",TYPE($H$126)&lt;&gt;1),IF(AND($G$131="B",$G$133="B",$H$125&gt;0),Taal03!B119,""),"")))</f>
        <v/>
      </c>
    </row>
    <row r="57" spans="1:21" ht="14.1" customHeight="1" x14ac:dyDescent="0.25">
      <c r="A57" s="392">
        <f t="shared" si="3"/>
        <v>87</v>
      </c>
      <c r="B57" s="17"/>
      <c r="C57" s="949"/>
      <c r="D57" s="57" t="str">
        <f t="shared" ca="1" si="0"/>
        <v/>
      </c>
      <c r="E57" s="1057" t="str">
        <f t="shared" ca="1" si="1"/>
        <v/>
      </c>
      <c r="F57" s="1057"/>
      <c r="G57" s="1057"/>
      <c r="H57" s="1057"/>
      <c r="I57" s="1057"/>
      <c r="J57" s="1057"/>
      <c r="K57" s="1057"/>
      <c r="L57" s="1057"/>
      <c r="M57" s="1057"/>
      <c r="N57" s="1058"/>
      <c r="O57" s="411"/>
      <c r="P57" s="411"/>
      <c r="R57" s="10">
        <f t="shared" ca="1" si="2"/>
        <v>900</v>
      </c>
      <c r="S57" s="10">
        <f>IF(U57="",999,406)</f>
        <v>999</v>
      </c>
      <c r="T57" s="10" t="str">
        <f>""</f>
        <v/>
      </c>
      <c r="U57" s="5" t="str">
        <f>IF(OR($Q$81=0,$G$134="NEE",TYPE($H$126)&lt;&gt;1),"","  ●  "&amp;IF(OR(AND($G$131="B",$G$133="B"),AND($G$135="NEE",$G$133= "B")),Taal03!B106,Taal03!B105))</f>
        <v/>
      </c>
    </row>
    <row r="58" spans="1:21" ht="14.1" customHeight="1" x14ac:dyDescent="0.25">
      <c r="A58" s="392">
        <f t="shared" si="3"/>
        <v>90</v>
      </c>
      <c r="B58" s="17"/>
      <c r="C58" s="949"/>
      <c r="D58" s="57" t="str">
        <f t="shared" ca="1" si="0"/>
        <v/>
      </c>
      <c r="E58" s="1057" t="str">
        <f t="shared" ca="1" si="1"/>
        <v/>
      </c>
      <c r="F58" s="1057"/>
      <c r="G58" s="1057"/>
      <c r="H58" s="1057"/>
      <c r="I58" s="1057"/>
      <c r="J58" s="1057"/>
      <c r="K58" s="1057"/>
      <c r="L58" s="1057"/>
      <c r="M58" s="1057"/>
      <c r="N58" s="1058"/>
      <c r="O58" s="411"/>
      <c r="P58" s="411"/>
      <c r="R58" s="10">
        <f t="shared" ca="1" si="2"/>
        <v>900</v>
      </c>
      <c r="S58" s="10">
        <f>IF(U51="",IF(AND($G$134="JA",$G$135="JA"),900,999),900)</f>
        <v>900</v>
      </c>
      <c r="T58" s="10" t="str">
        <f>""</f>
        <v/>
      </c>
      <c r="U58" s="10" t="str">
        <f>""</f>
        <v/>
      </c>
    </row>
    <row r="59" spans="1:21" ht="14.1" customHeight="1" x14ac:dyDescent="0.25">
      <c r="A59" s="392">
        <f t="shared" si="3"/>
        <v>93</v>
      </c>
      <c r="B59" s="17"/>
      <c r="C59" s="949"/>
      <c r="D59" s="57" t="str">
        <f t="shared" ca="1" si="0"/>
        <v/>
      </c>
      <c r="E59" s="1057" t="str">
        <f t="shared" ca="1" si="1"/>
        <v/>
      </c>
      <c r="F59" s="1057"/>
      <c r="G59" s="1057"/>
      <c r="H59" s="1057"/>
      <c r="I59" s="1057"/>
      <c r="J59" s="1057"/>
      <c r="K59" s="1057"/>
      <c r="L59" s="1057"/>
      <c r="M59" s="1057"/>
      <c r="N59" s="1058"/>
      <c r="O59" s="411"/>
      <c r="P59" s="411"/>
      <c r="R59" s="10">
        <f t="shared" ca="1" si="2"/>
        <v>900</v>
      </c>
      <c r="S59" s="594">
        <f>IF(U59="",999,500)</f>
        <v>999</v>
      </c>
      <c r="T59" s="10" t="str">
        <f>""</f>
        <v/>
      </c>
      <c r="U59" s="184" t="str">
        <f>IF(OR($Q$81=0,AND(TYPE($H$127)&lt;&gt;1,TYPE($H$128)&lt;&gt;1)),"",UPPER(Taal03!B125))</f>
        <v/>
      </c>
    </row>
    <row r="60" spans="1:21" ht="14.1" customHeight="1" x14ac:dyDescent="0.25">
      <c r="A60" s="392">
        <f t="shared" si="3"/>
        <v>96</v>
      </c>
      <c r="B60" s="17"/>
      <c r="C60" s="949"/>
      <c r="D60" s="57" t="str">
        <f t="shared" ca="1" si="0"/>
        <v/>
      </c>
      <c r="E60" s="1057" t="str">
        <f t="shared" ca="1" si="1"/>
        <v/>
      </c>
      <c r="F60" s="1057"/>
      <c r="G60" s="1057"/>
      <c r="H60" s="1057"/>
      <c r="I60" s="1057"/>
      <c r="J60" s="1057"/>
      <c r="K60" s="1057"/>
      <c r="L60" s="1057"/>
      <c r="M60" s="1057"/>
      <c r="N60" s="1058"/>
      <c r="O60" s="411"/>
      <c r="P60" s="411"/>
      <c r="R60" s="10">
        <f t="shared" ca="1" si="2"/>
        <v>900</v>
      </c>
      <c r="S60" s="235">
        <f>IF(U60="",999,501)</f>
        <v>999</v>
      </c>
      <c r="T60" s="235" t="str">
        <f>IF(OR($Q$81=0,TYPE($H$127)&lt;&gt;1),"",$H$127)</f>
        <v/>
      </c>
      <c r="U60" s="296" t="str">
        <f>IF(OR($Q$81=0,TYPE($H$127)&lt;&gt;1),"",SUBSTITUTE(IF(F127="A",Taal03!B126,IF(F127="B",Taal03!B128,IF(F127="C",IF($G$138="NEE",Taal03!B130,IF($G$131="B",Taal03!B134,IF($G$131="C",Taal03!B136,Taal03!B132))),IF(F127="D",IF($G$137="NEE",Taal03!B138,IF($G$131="B",Taal03!B142,IF($G$131="C",Taal03!B144,Taal03!B140))),Taal03!B146)))),"$$$",LOWER(IF($H$127=1,Taal03!$B$50,Taal03!$B$51))))</f>
        <v/>
      </c>
    </row>
    <row r="61" spans="1:21" ht="14.1" customHeight="1" x14ac:dyDescent="0.25">
      <c r="A61" s="392">
        <f t="shared" si="3"/>
        <v>99</v>
      </c>
      <c r="B61" s="17"/>
      <c r="C61" s="949"/>
      <c r="D61" s="57" t="str">
        <f t="shared" ca="1" si="0"/>
        <v/>
      </c>
      <c r="E61" s="1057" t="str">
        <f t="shared" ca="1" si="1"/>
        <v/>
      </c>
      <c r="F61" s="1057"/>
      <c r="G61" s="1057"/>
      <c r="H61" s="1057"/>
      <c r="I61" s="1057"/>
      <c r="J61" s="1057"/>
      <c r="K61" s="1057"/>
      <c r="L61" s="1057"/>
      <c r="M61" s="1057"/>
      <c r="N61" s="1058"/>
      <c r="O61" s="411"/>
      <c r="P61" s="411"/>
      <c r="R61" s="10">
        <f t="shared" ca="1" si="2"/>
        <v>900</v>
      </c>
      <c r="S61" s="235">
        <f>IF(U61="",999,502)</f>
        <v>999</v>
      </c>
      <c r="T61" s="235" t="str">
        <f>""</f>
        <v/>
      </c>
      <c r="U61" s="296" t="str">
        <f>IF(OR($Q$81=0,TYPE($H$127)&lt;&gt;1),"",SUBSTITUTE(IF(F127="A",Taal03!B127,IF(F127="B",Taal03!B129,IF(F127="C",IF($G$138="NEE",Taal03!B131,IF($G$131="B",Taal03!B135,IF($G$131="C",Taal03!B137,Taal03!B133))),IF(F127="D",IF($G$137="NEE",Taal03!B139,IF($G$131="B",Taal03!B143,IF($G$131="C",Taal03!B145,Taal03!B141))),Taal03!B147)))),"$$$",LOWER(IF($H$127=1,Taal03!$B$50,Taal03!$B$51))))</f>
        <v/>
      </c>
    </row>
    <row r="62" spans="1:21" ht="14.1" customHeight="1" x14ac:dyDescent="0.25">
      <c r="A62" s="392">
        <f t="shared" si="3"/>
        <v>102</v>
      </c>
      <c r="B62" s="17"/>
      <c r="C62" s="949"/>
      <c r="D62" s="57" t="str">
        <f t="shared" ca="1" si="0"/>
        <v/>
      </c>
      <c r="E62" s="1057" t="str">
        <f t="shared" ca="1" si="1"/>
        <v/>
      </c>
      <c r="F62" s="1057"/>
      <c r="G62" s="1057"/>
      <c r="H62" s="1057"/>
      <c r="I62" s="1057"/>
      <c r="J62" s="1057"/>
      <c r="K62" s="1057"/>
      <c r="L62" s="1057"/>
      <c r="M62" s="1057"/>
      <c r="N62" s="1058"/>
      <c r="O62" s="411"/>
      <c r="P62" s="411"/>
      <c r="R62" s="10">
        <f t="shared" ca="1" si="2"/>
        <v>900</v>
      </c>
      <c r="S62" s="235">
        <f>IF(U62="",999,503)</f>
        <v>999</v>
      </c>
      <c r="T62" s="235" t="str">
        <f>IF(OR($Q$81=0,TYPE($H$128)&lt;&gt;1),"",$H$128)</f>
        <v/>
      </c>
      <c r="U62" s="296" t="str">
        <f>IF(OR($Q$81=0,TYPE($H$128)&lt;&gt;1),"",SUBSTITUTE(IF(F128="A",Taal03!B126,IF(F128="B",Taal03!B128,IF(F128="C",IF($G$138="NEE",Taal03!B130,IF($G$131="B",Taal03!B134,IF($G$131="C",Taal03!B136,Taal03!B132))),IF(F128="D",IF($G$137="NEE",Taal03!B138,IF($G$131="B",Taal03!B142,IF($G$131="C",Taal03!B144,Taal03!B140))),Taal03!B146)))),"$$$",LOWER(IF($H$128=1,Taal03!$B$50,Taal03!$B$51))))</f>
        <v/>
      </c>
    </row>
    <row r="63" spans="1:21" ht="14.1" customHeight="1" x14ac:dyDescent="0.25">
      <c r="A63" s="392">
        <f t="shared" si="3"/>
        <v>105</v>
      </c>
      <c r="B63" s="17"/>
      <c r="C63" s="949"/>
      <c r="D63" s="57" t="str">
        <f t="shared" ca="1" si="0"/>
        <v/>
      </c>
      <c r="E63" s="1057" t="str">
        <f t="shared" ca="1" si="1"/>
        <v/>
      </c>
      <c r="F63" s="1057"/>
      <c r="G63" s="1057"/>
      <c r="H63" s="1057"/>
      <c r="I63" s="1057"/>
      <c r="J63" s="1057"/>
      <c r="K63" s="1057"/>
      <c r="L63" s="1057"/>
      <c r="M63" s="1057"/>
      <c r="N63" s="1058"/>
      <c r="O63" s="411"/>
      <c r="P63" s="411"/>
      <c r="R63" s="10">
        <f t="shared" ca="1" si="2"/>
        <v>900</v>
      </c>
      <c r="S63" s="235">
        <f>IF(U63="",999,504)</f>
        <v>999</v>
      </c>
      <c r="T63" s="235" t="str">
        <f>""</f>
        <v/>
      </c>
      <c r="U63" s="296" t="str">
        <f>IF(OR($Q$81=0,TYPE($H$128)&lt;&gt;1),"",SUBSTITUTE(IF(F128="A",Taal03!B127,IF(F128="B",Taal03!B129,IF(F128="C",IF($G$138="NEE",Taal03!B131,IF($G$131="B",Taal03!B135,IF($G$131="C",Taal03!B137,Taal03!B133))),IF(F128="D",IF($G$137="NEE",Taal03!B139,IF($G$131="B",Taal03!B143,IF($G$131="C",Taal03!B145,Taal03!B141))),Taal03!B147)))),"$$$",LOWER(IF($H$128=1,Taal03!$B$50,Taal03!$B$51))))</f>
        <v/>
      </c>
    </row>
    <row r="64" spans="1:21" ht="14.1" customHeight="1" x14ac:dyDescent="0.25">
      <c r="A64" s="392">
        <f t="shared" si="3"/>
        <v>108</v>
      </c>
      <c r="B64" s="17"/>
      <c r="C64" s="949"/>
      <c r="D64" s="57" t="str">
        <f t="shared" ca="1" si="0"/>
        <v/>
      </c>
      <c r="E64" s="1057" t="str">
        <f t="shared" ca="1" si="1"/>
        <v/>
      </c>
      <c r="F64" s="1057"/>
      <c r="G64" s="1057"/>
      <c r="H64" s="1057"/>
      <c r="I64" s="1057"/>
      <c r="J64" s="1057"/>
      <c r="K64" s="1057"/>
      <c r="L64" s="1057"/>
      <c r="M64" s="1057"/>
      <c r="N64" s="1058"/>
      <c r="O64" s="411"/>
      <c r="P64" s="411"/>
      <c r="R64" s="10">
        <f t="shared" ca="1" si="2"/>
        <v>900</v>
      </c>
      <c r="S64" s="235">
        <f>IF(U64="",999,505)</f>
        <v>999</v>
      </c>
      <c r="T64" s="235" t="str">
        <f>IF(OR($Q$81=0,TYPE($H$129)&lt;&gt;1),"",$H$129)</f>
        <v/>
      </c>
      <c r="U64" s="296" t="str">
        <f>IF(OR($Q$81=0,TYPE($H$129)&lt;&gt;1),"",SUBSTITUTE(IF(F129="A",Taal03!B126,IF(F129="B",Taal03!B128,IF(F129="C",IF($G$138="NEE",Taal03!B130,IF($G$131="B",Taal03!B134,IF($G$131="C",Taal03!B136,Taal03!B132))),IF(F129="D",IF($G$137="NEE",Taal03!B138,IF($G$131="B",Taal03!B142,IF($G$131="C",Taal03!B144,Taal03!B140))),Taal03!B146)))),"$$$",LOWER(IF($H$129=1,Taal03!$B$50,Taal03!$B$51))))</f>
        <v/>
      </c>
    </row>
    <row r="65" spans="1:21" ht="14.1" customHeight="1" x14ac:dyDescent="0.25">
      <c r="A65" s="392">
        <f t="shared" si="3"/>
        <v>111</v>
      </c>
      <c r="B65" s="17"/>
      <c r="C65" s="949"/>
      <c r="D65" s="57" t="str">
        <f t="shared" ca="1" si="0"/>
        <v/>
      </c>
      <c r="E65" s="1057" t="str">
        <f t="shared" ca="1" si="1"/>
        <v/>
      </c>
      <c r="F65" s="1057"/>
      <c r="G65" s="1057"/>
      <c r="H65" s="1057"/>
      <c r="I65" s="1057"/>
      <c r="J65" s="1057"/>
      <c r="K65" s="1057"/>
      <c r="L65" s="1057"/>
      <c r="M65" s="1057"/>
      <c r="N65" s="1058"/>
      <c r="O65" s="411"/>
      <c r="P65" s="411"/>
      <c r="R65" s="10">
        <f t="shared" ca="1" si="2"/>
        <v>900</v>
      </c>
      <c r="S65" s="235">
        <f>IF(U65="",999,506)</f>
        <v>999</v>
      </c>
      <c r="T65" s="235" t="str">
        <f>""</f>
        <v/>
      </c>
      <c r="U65" s="296" t="str">
        <f>IF(OR($Q$81=0,TYPE($H$129)&lt;&gt;1),"",SUBSTITUTE(IF(F129="A",Taal03!B127,IF(F129="B",Taal03!B129,IF(F129="C",IF($G$138="NEE",Taal03!B131,IF($G$131="B",Taal03!B135,IF($G$131="C",Taal03!B137,Taal03!B133))),IF(F129="D",IF($G$137="NEE",Taal03!B139,IF($G$131="B",Taal03!B143,IF($G$131="C",Taal03!B145,Taal03!B141))),Taal03!B147)))),"$$$",LOWER(IF($H$129=1,Taal03!$B$50,Taal03!$B$51))))</f>
        <v/>
      </c>
    </row>
    <row r="66" spans="1:21" ht="14.1" customHeight="1" x14ac:dyDescent="0.25">
      <c r="A66" s="392">
        <f t="shared" si="3"/>
        <v>114</v>
      </c>
      <c r="B66" s="17"/>
      <c r="C66" s="949"/>
      <c r="D66" s="57" t="str">
        <f t="shared" ca="1" si="0"/>
        <v/>
      </c>
      <c r="E66" s="1057" t="str">
        <f t="shared" ca="1" si="1"/>
        <v/>
      </c>
      <c r="F66" s="1057"/>
      <c r="G66" s="1057"/>
      <c r="H66" s="1057"/>
      <c r="I66" s="1057"/>
      <c r="J66" s="1057"/>
      <c r="K66" s="1057"/>
      <c r="L66" s="1057"/>
      <c r="M66" s="1057"/>
      <c r="N66" s="1058"/>
      <c r="O66" s="411"/>
      <c r="P66" s="411"/>
      <c r="R66" s="10">
        <f t="shared" ca="1" si="2"/>
        <v>900</v>
      </c>
      <c r="S66" s="10">
        <f>IF(U59="",999,900)</f>
        <v>999</v>
      </c>
      <c r="T66" s="10" t="str">
        <f>""</f>
        <v/>
      </c>
      <c r="U66" s="10" t="str">
        <f>""</f>
        <v/>
      </c>
    </row>
    <row r="67" spans="1:21" ht="14.1" customHeight="1" x14ac:dyDescent="0.25">
      <c r="A67" s="392">
        <f t="shared" si="3"/>
        <v>117</v>
      </c>
      <c r="B67" s="17"/>
      <c r="C67" s="949"/>
      <c r="D67" s="57" t="str">
        <f t="shared" ca="1" si="0"/>
        <v/>
      </c>
      <c r="E67" s="1057" t="str">
        <f t="shared" ca="1" si="1"/>
        <v/>
      </c>
      <c r="F67" s="1057"/>
      <c r="G67" s="1057"/>
      <c r="H67" s="1057"/>
      <c r="I67" s="1057"/>
      <c r="J67" s="1057"/>
      <c r="K67" s="1057"/>
      <c r="L67" s="1057"/>
      <c r="M67" s="1057"/>
      <c r="N67" s="1058"/>
      <c r="O67" s="411"/>
      <c r="P67" s="411"/>
      <c r="R67" s="10">
        <f t="shared" ca="1" si="2"/>
        <v>900</v>
      </c>
      <c r="S67" s="594">
        <f>IF(U67="",999,600)</f>
        <v>999</v>
      </c>
      <c r="T67" s="10" t="str">
        <f>""</f>
        <v/>
      </c>
      <c r="U67" s="184" t="str">
        <f>IF(OR($Q$81=0,$G$139="NEE"),"",UPPER(Taal03!B150))</f>
        <v/>
      </c>
    </row>
    <row r="68" spans="1:21" ht="14.1" customHeight="1" x14ac:dyDescent="0.25">
      <c r="A68" s="392">
        <f t="shared" si="3"/>
        <v>120</v>
      </c>
      <c r="B68" s="17"/>
      <c r="C68" s="949"/>
      <c r="D68" s="57" t="str">
        <f t="shared" ca="1" si="0"/>
        <v/>
      </c>
      <c r="E68" s="1057" t="str">
        <f t="shared" ca="1" si="1"/>
        <v/>
      </c>
      <c r="F68" s="1057"/>
      <c r="G68" s="1057"/>
      <c r="H68" s="1057"/>
      <c r="I68" s="1057"/>
      <c r="J68" s="1057"/>
      <c r="K68" s="1057"/>
      <c r="L68" s="1057"/>
      <c r="M68" s="1057"/>
      <c r="N68" s="1058"/>
      <c r="O68" s="411"/>
      <c r="P68" s="411"/>
      <c r="R68" s="10">
        <f t="shared" ca="1" si="2"/>
        <v>900</v>
      </c>
      <c r="S68" s="10">
        <f>IF(U68="",999,601)</f>
        <v>999</v>
      </c>
      <c r="T68" s="10" t="str">
        <f>IF(OR($Q$81=0,G173="NEE"),"","-")</f>
        <v>-</v>
      </c>
      <c r="U68" s="5" t="str">
        <f>IF(OR($Q$81=0,$G$139="NEE"),"",IF($R$71=RIGHT($S$71,2),Taal03!B151,Taal03!B152))</f>
        <v/>
      </c>
    </row>
    <row r="69" spans="1:21" ht="14.1" customHeight="1" x14ac:dyDescent="0.25">
      <c r="B69" s="17"/>
      <c r="C69" s="950"/>
      <c r="D69" s="1107" t="str">
        <f ca="1">Taal03!B155</f>
        <v/>
      </c>
      <c r="E69" s="1107"/>
      <c r="F69" s="1107"/>
      <c r="G69" s="1107"/>
      <c r="H69" s="1107"/>
      <c r="I69" s="1107"/>
      <c r="J69" s="1107"/>
      <c r="K69" s="1107"/>
      <c r="L69" s="1107"/>
      <c r="M69" s="1107"/>
      <c r="N69" s="952"/>
      <c r="O69" s="1057"/>
      <c r="P69" s="1057"/>
      <c r="R69" s="10"/>
      <c r="S69" s="10">
        <f>IF(U69="",999,602)</f>
        <v>999</v>
      </c>
      <c r="T69" s="10" t="str">
        <f>IF(OR($Q$81=0,G173="NEE"),"","-")</f>
        <v>-</v>
      </c>
      <c r="U69" s="5" t="str">
        <f>IF(OR($Q$81=0,$G$139="NEE"),"",Taal03!B153)</f>
        <v/>
      </c>
    </row>
    <row r="70" spans="1:21" ht="15" customHeight="1" x14ac:dyDescent="0.25">
      <c r="B70" s="17"/>
      <c r="C70" s="17"/>
      <c r="D70" s="17"/>
      <c r="E70" s="17"/>
      <c r="F70" s="17"/>
      <c r="G70" s="17"/>
      <c r="H70" s="17"/>
      <c r="I70" s="17"/>
      <c r="J70" s="17"/>
      <c r="K70" s="17"/>
      <c r="L70" s="17"/>
      <c r="M70" s="17"/>
      <c r="N70" s="17"/>
      <c r="O70" s="1057"/>
      <c r="P70" s="1057"/>
      <c r="R70" s="185"/>
      <c r="S70" s="183"/>
      <c r="T70" s="233"/>
      <c r="U70" s="233"/>
    </row>
    <row r="71" spans="1:21" ht="15" customHeight="1" x14ac:dyDescent="0.25">
      <c r="B71" s="17"/>
      <c r="C71" s="985"/>
      <c r="D71" s="975" t="s">
        <v>89</v>
      </c>
      <c r="E71" s="986"/>
      <c r="F71" s="986"/>
      <c r="G71" s="986"/>
      <c r="H71" s="986"/>
      <c r="I71" s="986"/>
      <c r="J71" s="986"/>
      <c r="K71" s="986"/>
      <c r="L71" s="986"/>
      <c r="M71" s="977" t="str">
        <f>S71</f>
        <v>©2024 Eric de Jong v24.00dh</v>
      </c>
      <c r="N71" s="987"/>
      <c r="O71" s="1057"/>
      <c r="P71" s="1057"/>
      <c r="R71" s="185" t="str">
        <f>IF(OR(RIGHT(S71,1)= "a",RIGHT(S71,1)= "b",RIGHT(S71,1)= "c"),"#",LEFT(RIGHT(S71,2),1)&amp;CHAR(CODE(RIGHT(S71,1))-IF(ISEVEN(CODE(RIGHT(S71,1))),0,1)))</f>
        <v>dh</v>
      </c>
      <c r="S71" s="1104" t="s">
        <v>2497</v>
      </c>
      <c r="T71" s="1104"/>
      <c r="U71" s="1104"/>
    </row>
    <row r="72" spans="1:21" ht="15" customHeight="1" x14ac:dyDescent="0.25">
      <c r="B72" s="17"/>
      <c r="C72" s="17"/>
      <c r="D72" s="17"/>
      <c r="E72" s="17"/>
      <c r="F72" s="17"/>
      <c r="G72" s="17"/>
      <c r="H72" s="17"/>
      <c r="I72" s="17"/>
      <c r="J72" s="17"/>
      <c r="K72" s="17"/>
      <c r="L72" s="17"/>
      <c r="M72" s="17"/>
      <c r="N72" s="17"/>
      <c r="O72" s="1057"/>
      <c r="P72" s="1057"/>
      <c r="R72" s="185"/>
      <c r="S72" s="183"/>
      <c r="T72" s="233"/>
      <c r="U72" s="233"/>
    </row>
    <row r="73" spans="1:21" ht="15" customHeight="1" x14ac:dyDescent="0.25"/>
    <row r="74" spans="1:21" ht="15" customHeight="1" x14ac:dyDescent="0.25"/>
    <row r="75" spans="1:21" ht="15" customHeight="1" x14ac:dyDescent="0.25"/>
    <row r="76" spans="1:21" ht="15" customHeight="1" x14ac:dyDescent="0.25"/>
    <row r="77" spans="1:21" ht="15" customHeight="1" x14ac:dyDescent="0.25"/>
    <row r="78" spans="1:21" ht="15" customHeight="1" x14ac:dyDescent="0.25"/>
    <row r="79" spans="1:21" ht="15" customHeight="1" x14ac:dyDescent="0.25"/>
    <row r="80" spans="1:21" ht="15" customHeight="1" x14ac:dyDescent="0.25"/>
    <row r="81" spans="2:21" ht="26.25" hidden="1" customHeight="1" x14ac:dyDescent="0.4">
      <c r="B81" s="78"/>
      <c r="C81" s="99" t="s">
        <v>31</v>
      </c>
      <c r="D81" s="82"/>
      <c r="E81" s="82"/>
      <c r="F81" s="82"/>
      <c r="G81" s="82"/>
      <c r="H81" s="82"/>
      <c r="I81" s="82"/>
      <c r="J81" s="82"/>
      <c r="K81" s="82"/>
      <c r="L81" s="82"/>
      <c r="M81" s="100" t="s">
        <v>46</v>
      </c>
      <c r="N81" s="1085">
        <f>IF(Q81=1,IF(OR(RIGHT(LEFT(F82,3),1)="d",RIGHT(LEFT(F82,3),1)="h"),1,0),0)</f>
        <v>1</v>
      </c>
      <c r="O81" s="1086"/>
      <c r="P81" s="1087" t="s">
        <v>92</v>
      </c>
      <c r="Q81" s="133">
        <f>IF(AND(Q82*Q83*Q84=1,Q85=Q86),1,0)</f>
        <v>1</v>
      </c>
      <c r="R81" s="132" t="s">
        <v>165</v>
      </c>
      <c r="S81" s="225"/>
      <c r="T81" s="132"/>
      <c r="U81" s="127"/>
    </row>
    <row r="82" spans="2:21" ht="15" hidden="1" customHeight="1" x14ac:dyDescent="0.25">
      <c r="B82" s="74"/>
      <c r="C82" s="1065" t="s">
        <v>32</v>
      </c>
      <c r="D82" s="1065"/>
      <c r="E82" s="1066"/>
      <c r="F82" s="1067" t="str">
        <f>IF(Q81=1,IF(S87="JA",LEFT(P3,LEN(SUBSTITUTE(SUBSTITUTE(P3,CHAR(10),""),CHAR(32),""))-U89),SUBSTITUTE(SUBSTITUTE(P3,CHAR(10),""),CHAR(32),"")),"")</f>
        <v>|dh|E150614|10#624|Jamilo*#EK-pool|Jamilo|info@jamilo.nl||DD|P|##|##|500|5000|3000|2000|||||30|22|#0|16|10|#4|#5|#3|#1|##|X##|X##|X##|BANA|</v>
      </c>
      <c r="G82" s="1068"/>
      <c r="H82" s="1068"/>
      <c r="I82" s="1068"/>
      <c r="J82" s="1068"/>
      <c r="K82" s="1068"/>
      <c r="L82" s="1068"/>
      <c r="M82" s="1068"/>
      <c r="N82" s="1063">
        <f>IF(Q81=1,LEN(F82),"")</f>
        <v>139</v>
      </c>
      <c r="O82" s="1064"/>
      <c r="P82" s="1088"/>
      <c r="Q82" s="86">
        <f>IF(AND(CODE(RIGHT(M71,1))&gt;98,CODE(RIGHT(M71,1))&lt;115),IF(ISBLANK(P3),0,1),Q83)</f>
        <v>1</v>
      </c>
      <c r="R82" s="128" t="s">
        <v>144</v>
      </c>
      <c r="S82" s="226"/>
      <c r="T82" s="128"/>
      <c r="U82" s="129"/>
    </row>
    <row r="83" spans="2:21" hidden="1" x14ac:dyDescent="0.25">
      <c r="B83" s="74"/>
      <c r="C83" s="1065" t="s">
        <v>143</v>
      </c>
      <c r="D83" s="1065"/>
      <c r="E83" s="1066"/>
      <c r="F83" s="1074" t="str">
        <f>IF(Q81=1,LEFT(F82,N83),"")</f>
        <v>|dh|E150614|10#624|Jamilo*#EK-pool|Jamilo|info@jamilo.nl|</v>
      </c>
      <c r="G83" s="1074"/>
      <c r="H83" s="1074"/>
      <c r="I83" s="1074"/>
      <c r="J83" s="1074"/>
      <c r="K83" s="1074"/>
      <c r="L83" s="1074"/>
      <c r="M83" s="1074"/>
      <c r="N83" s="1063">
        <f>IF(Q81=1,RIGHT(LEFT(F82,7),2)+RIGHT(LEFT(F82,9),2)+RIGHT(LEFT(F82,11),2)+22,"")</f>
        <v>57</v>
      </c>
      <c r="O83" s="1064"/>
      <c r="P83" s="1088"/>
      <c r="Q83" s="86">
        <f>IF(OR(ISBLANK(P3),P3=""),0,IF(CODE(LEFT(SUBSTITUTE(SUBSTITUTE(P3,CHAR(10),""),CHAR(32),""),1))=124,1,0))</f>
        <v>1</v>
      </c>
      <c r="R83" s="128" t="s">
        <v>145</v>
      </c>
      <c r="S83" s="226"/>
      <c r="T83" s="128"/>
      <c r="U83" s="129"/>
    </row>
    <row r="84" spans="2:21" hidden="1" x14ac:dyDescent="0.25">
      <c r="B84" s="74"/>
      <c r="C84" s="1065" t="s">
        <v>103</v>
      </c>
      <c r="D84" s="1065"/>
      <c r="E84" s="1066"/>
      <c r="F84" s="1074" t="str">
        <f>IF(Q81=1,IF(N81&lt;1,"Geen Inleg Systeem",RIGHT(LEFT(F82,N83+N84),N84)),"")</f>
        <v>|DD|P|##|##|500|5000|3000|2000||||</v>
      </c>
      <c r="G84" s="1074"/>
      <c r="H84" s="1074"/>
      <c r="I84" s="1074"/>
      <c r="J84" s="1074"/>
      <c r="K84" s="1074"/>
      <c r="L84" s="1074"/>
      <c r="M84" s="1074"/>
      <c r="N84" s="1063">
        <f>IF(Q81=1,IF(N81&lt;1,0,N82-N83-N85),"")</f>
        <v>34</v>
      </c>
      <c r="O84" s="1064"/>
      <c r="P84" s="1088"/>
      <c r="Q84" s="86">
        <f>IF(OR(ISBLANK(P3),P3=""),0,IF(OR(CODE(RIGHT(SUBSTITUTE(SUBSTITUTE(P3,CHAR(10),""),CHAR(32),""),1))=124,CODE(RIGHT(SUBSTITUTE(SUBSTITUTE(P3,CHAR(10),""),CHAR(32),""),1))=125),1,0))</f>
        <v>1</v>
      </c>
      <c r="R84" s="128" t="s">
        <v>146</v>
      </c>
      <c r="S84" s="226"/>
      <c r="T84" s="128"/>
      <c r="U84" s="129"/>
    </row>
    <row r="85" spans="2:21" hidden="1" x14ac:dyDescent="0.25">
      <c r="B85" s="74"/>
      <c r="C85" s="1065" t="s">
        <v>102</v>
      </c>
      <c r="D85" s="1065"/>
      <c r="E85" s="1066"/>
      <c r="F85" s="1067" t="str">
        <f>IF(Q81=1,RIGHT(F82,N85),"")</f>
        <v>|30|22|#0|16|10|#4|#5|#3|#1|##|X##|X##|X##|BANA|</v>
      </c>
      <c r="G85" s="1068"/>
      <c r="H85" s="1068"/>
      <c r="I85" s="1069"/>
      <c r="J85" s="1069"/>
      <c r="K85" s="1069"/>
      <c r="L85" s="1069"/>
      <c r="M85" s="1070"/>
      <c r="N85" s="1063">
        <f>IF(Q81=1,48,"")</f>
        <v>48</v>
      </c>
      <c r="O85" s="1064"/>
      <c r="P85" s="1088"/>
      <c r="Q85" s="86" t="str">
        <f>IF(Q86="#","#",IF(Q82*Q83*Q84=1,RIGHT(LEFT(P3,3),2),"-"))</f>
        <v>dh</v>
      </c>
      <c r="R85" s="128" t="s">
        <v>147</v>
      </c>
      <c r="S85" s="226"/>
      <c r="T85" s="128"/>
      <c r="U85" s="129"/>
    </row>
    <row r="86" spans="2:21" hidden="1" x14ac:dyDescent="0.25">
      <c r="B86" s="74"/>
      <c r="C86" s="71"/>
      <c r="D86" s="71"/>
      <c r="E86" s="71"/>
      <c r="F86" s="125"/>
      <c r="G86" s="126"/>
      <c r="H86" s="126"/>
      <c r="I86" s="125"/>
      <c r="J86" s="125"/>
      <c r="K86" s="125"/>
      <c r="L86" s="125"/>
      <c r="M86" s="125"/>
      <c r="N86" s="113"/>
      <c r="O86" s="618"/>
      <c r="P86" s="1088"/>
      <c r="Q86" s="108" t="str">
        <f>R71</f>
        <v>dh</v>
      </c>
      <c r="R86" s="130" t="s">
        <v>148</v>
      </c>
      <c r="S86" s="227"/>
      <c r="T86" s="130"/>
      <c r="U86" s="131"/>
    </row>
    <row r="87" spans="2:21" ht="15" hidden="1" customHeight="1" x14ac:dyDescent="0.25">
      <c r="B87" s="78"/>
      <c r="C87" s="29" t="s">
        <v>150</v>
      </c>
      <c r="D87" s="82"/>
      <c r="E87" s="82"/>
      <c r="F87" s="82"/>
      <c r="G87" s="1079" t="str">
        <f>RIGHT(LEFT(F83,N87),2)</f>
        <v>dh</v>
      </c>
      <c r="H87" s="1080"/>
      <c r="I87" s="82" t="s">
        <v>151</v>
      </c>
      <c r="J87" s="82"/>
      <c r="K87" s="82"/>
      <c r="L87" s="82"/>
      <c r="M87" s="82"/>
      <c r="N87" s="1090">
        <v>3</v>
      </c>
      <c r="O87" s="1091"/>
      <c r="P87" s="1088"/>
      <c r="Q87" s="1083" t="s">
        <v>99</v>
      </c>
      <c r="R87" s="1084"/>
      <c r="S87" s="1098" t="str">
        <f>IF(Q81=1,IF(CODE(RIGHT(SUBSTITUTE(SUBSTITUTE(P3,CHAR(10),""),CHAR(32),""),1))=125,"JA","NEE"),"")</f>
        <v>NEE</v>
      </c>
      <c r="T87" s="1099"/>
      <c r="U87" s="1100"/>
    </row>
    <row r="88" spans="2:21" hidden="1" x14ac:dyDescent="0.25">
      <c r="B88" s="74"/>
      <c r="C88" s="3"/>
      <c r="D88" s="3"/>
      <c r="E88" s="3"/>
      <c r="F88" s="3"/>
      <c r="G88" s="1071" t="str">
        <f>RIGHT(LEFT(F83,N88),1)</f>
        <v>E</v>
      </c>
      <c r="H88" s="42" t="str">
        <f>IF(F82="","",IF(OR(G88="E",G88="F",G88="G",G88="H"),"JA","NEE"))</f>
        <v>JA</v>
      </c>
      <c r="I88" s="3" t="s">
        <v>455</v>
      </c>
      <c r="J88" s="3"/>
      <c r="K88" s="3"/>
      <c r="L88" s="3"/>
      <c r="M88" s="3"/>
      <c r="N88" s="1081">
        <v>5</v>
      </c>
      <c r="O88" s="1064"/>
      <c r="P88" s="1088"/>
      <c r="Q88" s="1061" t="s">
        <v>84</v>
      </c>
      <c r="R88" s="1062"/>
      <c r="S88" s="1101" t="str">
        <f>IF(Q81=1,IF(S87="JA",RIGHT(SUBSTITUTE(SUBSTITUTE(P3,CHAR(10),""),CHAR(32),""),U89),"Geen Bonusvragen"),"")</f>
        <v>Geen Bonusvragen</v>
      </c>
      <c r="T88" s="1102"/>
      <c r="U88" s="1103"/>
    </row>
    <row r="89" spans="2:21" hidden="1" x14ac:dyDescent="0.25">
      <c r="B89" s="74"/>
      <c r="C89" s="1059" t="str">
        <f>IF($Q$81=1,IF(RIGHT(LEFT($F$83,4),1)="¦","JA","NEE"),"")</f>
        <v>NEE</v>
      </c>
      <c r="D89" s="1060"/>
      <c r="E89" s="575" t="s">
        <v>765</v>
      </c>
      <c r="F89" s="3"/>
      <c r="G89" s="1072"/>
      <c r="H89" s="31" t="str">
        <f>IF(F82="","",IF(OR(G88="C",G88="D",G88="G",G88="H"),"JA","NEE"))</f>
        <v>NEE</v>
      </c>
      <c r="I89" s="3" t="s">
        <v>33</v>
      </c>
      <c r="J89" s="3"/>
      <c r="K89" s="3"/>
      <c r="L89" s="3"/>
      <c r="M89" s="3"/>
      <c r="N89" s="113"/>
      <c r="O89" s="618"/>
      <c r="P89" s="1088"/>
      <c r="Q89" s="621"/>
      <c r="R89" s="425"/>
      <c r="S89" s="228"/>
      <c r="T89" s="228"/>
      <c r="U89" s="119">
        <v>21</v>
      </c>
    </row>
    <row r="90" spans="2:21" hidden="1" x14ac:dyDescent="0.25">
      <c r="B90" s="74"/>
      <c r="C90" s="28"/>
      <c r="D90" s="3"/>
      <c r="E90" s="575" t="s">
        <v>767</v>
      </c>
      <c r="F90" s="3"/>
      <c r="G90" s="1073"/>
      <c r="H90" s="42">
        <f>IF(F82="","",IF(OR(G88="A",G88="C",G88="E",G88="G"),1,2))</f>
        <v>1</v>
      </c>
      <c r="I90" s="3" t="s">
        <v>450</v>
      </c>
      <c r="J90" s="3"/>
      <c r="K90" s="3"/>
      <c r="L90" s="3"/>
      <c r="M90" s="3"/>
      <c r="N90" s="113"/>
      <c r="O90" s="618"/>
      <c r="P90" s="1088"/>
      <c r="Q90" s="621"/>
      <c r="R90" s="425"/>
      <c r="S90" s="228"/>
      <c r="T90" s="228"/>
      <c r="U90" s="229"/>
    </row>
    <row r="91" spans="2:21" hidden="1" x14ac:dyDescent="0.25">
      <c r="B91" s="74"/>
      <c r="C91" s="3"/>
      <c r="D91" s="3"/>
      <c r="E91" s="575" t="s">
        <v>766</v>
      </c>
      <c r="F91" s="3"/>
      <c r="G91" s="31" t="str">
        <f>RIGHT(G87,1)</f>
        <v>h</v>
      </c>
      <c r="H91" s="42" t="str">
        <f>IF(F82="","",IF(OR(G91="d",G91="h"),"JA","NEE"))</f>
        <v>JA</v>
      </c>
      <c r="I91" s="3" t="s">
        <v>76</v>
      </c>
      <c r="J91" s="3"/>
      <c r="K91" s="3"/>
      <c r="L91" s="3"/>
      <c r="M91" s="3"/>
      <c r="N91" s="1081">
        <v>10</v>
      </c>
      <c r="O91" s="1064"/>
      <c r="P91" s="1088"/>
      <c r="Q91" s="31" t="str">
        <f>IF(AND(Q81=1,S87="JA"),RIGHT(LEFT($S$88,11),2),"")</f>
        <v/>
      </c>
      <c r="R91" s="31" t="str">
        <f>IF(Q91="","",IF(CODE(Q91)=35,RIGHT(Q91,1),Q91)*1)</f>
        <v/>
      </c>
      <c r="S91" s="84" t="s">
        <v>85</v>
      </c>
      <c r="T91" s="228"/>
      <c r="U91" s="229"/>
    </row>
    <row r="92" spans="2:21" hidden="1" x14ac:dyDescent="0.25">
      <c r="B92" s="74"/>
      <c r="C92" s="3"/>
      <c r="D92" s="3"/>
      <c r="E92" s="3"/>
      <c r="F92" s="73"/>
      <c r="G92" s="31" t="str">
        <f>IF(F82="",0,RIGHT(LEFT(F83,N92),6))</f>
        <v>10#624</v>
      </c>
      <c r="H92" s="31">
        <f>SUBSTITUTE(LEFT(G92,2),"#","")*1</f>
        <v>10</v>
      </c>
      <c r="I92" s="31" t="str">
        <f ca="1">IF(F82="",0,VLOOKUP(SUBSTITUTE(LEFT(RIGHT(G92,4),2),"#","")*1,Q105:R116,2))</f>
        <v>juni</v>
      </c>
      <c r="J92" s="31">
        <f>SUBSTITUTE(RIGHT(G92,2),"#","")*1</f>
        <v>24</v>
      </c>
      <c r="K92" s="3" t="s">
        <v>77</v>
      </c>
      <c r="L92" s="3"/>
      <c r="M92" s="3"/>
      <c r="N92" s="1081">
        <v>18</v>
      </c>
      <c r="O92" s="1064"/>
      <c r="P92" s="1088"/>
      <c r="Q92" s="31" t="str">
        <f>IF(AND(Q81=1,S87="JA"),RIGHT(LEFT($S$88,2),1),"")</f>
        <v/>
      </c>
      <c r="R92" s="31" t="str">
        <f>IF(Q92="","",CODE(Q92)-IF(CODE(Q92)-64&gt;26,64+6,64))</f>
        <v/>
      </c>
      <c r="S92" s="84" t="s">
        <v>417</v>
      </c>
      <c r="T92" s="228"/>
      <c r="U92" s="229"/>
    </row>
    <row r="93" spans="2:21" hidden="1" x14ac:dyDescent="0.25">
      <c r="B93" s="74"/>
      <c r="C93" s="3"/>
      <c r="D93" s="3"/>
      <c r="E93" s="3"/>
      <c r="F93" s="73"/>
      <c r="G93" s="61" t="str">
        <f>IF(F82="",0,RIGHT(LEFT(F83,7),2))</f>
        <v>15</v>
      </c>
      <c r="H93" s="123" t="str">
        <f>RIGHT(LEFT($F$83,G93+N93),G93)</f>
        <v>Jamilo*#EK-pool</v>
      </c>
      <c r="I93" s="82" t="s">
        <v>153</v>
      </c>
      <c r="J93" s="82"/>
      <c r="K93" s="3"/>
      <c r="L93" s="3"/>
      <c r="M93" s="3"/>
      <c r="N93" s="1081">
        <v>19</v>
      </c>
      <c r="O93" s="1064"/>
      <c r="P93" s="1088"/>
      <c r="Q93" s="31" t="str">
        <f>IF(AND(Q81=1,S87="JA"),RIGHT(LEFT($S$88,14),2),"")</f>
        <v/>
      </c>
      <c r="R93" s="31" t="str">
        <f>IF(Q93="","",IF(CODE(Q93)=35,RIGHT(Q93,1),Q93)*1)</f>
        <v/>
      </c>
      <c r="S93" s="84" t="s">
        <v>86</v>
      </c>
      <c r="T93" s="228"/>
      <c r="U93" s="229"/>
    </row>
    <row r="94" spans="2:21" hidden="1" x14ac:dyDescent="0.25">
      <c r="B94" s="74"/>
      <c r="C94" s="3"/>
      <c r="D94" s="3"/>
      <c r="E94" s="3"/>
      <c r="F94" s="3"/>
      <c r="G94" s="61" t="str">
        <f>IF(F82="",0,RIGHT(LEFT(F83,9),2))</f>
        <v>06</v>
      </c>
      <c r="H94" s="123" t="str">
        <f>RIGHT(LEFT($F$83,G94+N94),G94)</f>
        <v>Jamilo</v>
      </c>
      <c r="I94" s="3" t="s">
        <v>154</v>
      </c>
      <c r="J94" s="3"/>
      <c r="K94" s="3"/>
      <c r="L94" s="3"/>
      <c r="M94" s="3"/>
      <c r="N94" s="1081">
        <f>G93+N93+1</f>
        <v>35</v>
      </c>
      <c r="O94" s="1064"/>
      <c r="P94" s="1088"/>
      <c r="Q94" s="31" t="str">
        <f>IF(AND(Q81=1,S87="JA"),RIGHT(LEFT($S$88,3),1),"")</f>
        <v/>
      </c>
      <c r="R94" s="31" t="str">
        <f>IF(Q94="","",CODE(Q94)-64)</f>
        <v/>
      </c>
      <c r="S94" s="228" t="s">
        <v>418</v>
      </c>
      <c r="T94" s="228"/>
      <c r="U94" s="229"/>
    </row>
    <row r="95" spans="2:21" hidden="1" x14ac:dyDescent="0.25">
      <c r="B95" s="79"/>
      <c r="C95" s="81"/>
      <c r="D95" s="81"/>
      <c r="E95" s="81"/>
      <c r="F95" s="81"/>
      <c r="G95" s="61" t="str">
        <f>IF(F82="",0,RIGHT(LEFT(F83,11),2))</f>
        <v>14</v>
      </c>
      <c r="H95" s="123" t="str">
        <f>RIGHT(LEFT($F$83,G95+N95),G95)</f>
        <v>info@jamilo.nl</v>
      </c>
      <c r="I95" s="81" t="s">
        <v>155</v>
      </c>
      <c r="J95" s="81"/>
      <c r="K95" s="81"/>
      <c r="L95" s="81"/>
      <c r="M95" s="81"/>
      <c r="N95" s="1096">
        <f>G94+N94+1</f>
        <v>42</v>
      </c>
      <c r="O95" s="1097"/>
      <c r="P95" s="1088"/>
      <c r="Q95" s="31" t="str">
        <f>IF(AND(Q81=1,S87="JA"),RIGHT(LEFT($S$88,17),2),"")</f>
        <v/>
      </c>
      <c r="R95" s="31" t="str">
        <f>IF(OR(Q95="",Q95="##"),"",IF(CODE(Q95)=35,RIGHT(Q95,1),Q95)*1)</f>
        <v/>
      </c>
      <c r="S95" s="84" t="s">
        <v>87</v>
      </c>
      <c r="T95" s="228"/>
      <c r="U95" s="229"/>
    </row>
    <row r="96" spans="2:21" hidden="1" x14ac:dyDescent="0.25">
      <c r="B96" s="101"/>
      <c r="C96" s="28" t="s">
        <v>152</v>
      </c>
      <c r="D96" s="3"/>
      <c r="E96" s="3"/>
      <c r="F96" s="3"/>
      <c r="G96" s="61" t="str">
        <f>IF($H$91="JA",RIGHT(LEFT($F$84,2),1),"")</f>
        <v>D</v>
      </c>
      <c r="H96" s="123" t="str">
        <f>IF(G96="","",IF(OR(G96="A",G96="D",G96="E"),"n.v.t.",RIGHT(LEFT(F84,9),6)))</f>
        <v>n.v.t.</v>
      </c>
      <c r="I96" s="102" t="s">
        <v>395</v>
      </c>
      <c r="J96" s="117"/>
      <c r="K96" s="117"/>
      <c r="L96" s="117"/>
      <c r="M96" s="3"/>
      <c r="N96" s="1081"/>
      <c r="O96" s="1064"/>
      <c r="P96" s="1088"/>
      <c r="Q96" s="31" t="str">
        <f>IF(AND(Q81=1,S87="JA"),RIGHT(LEFT($S$88,20),2),"")</f>
        <v/>
      </c>
      <c r="R96" s="31" t="str">
        <f>IF(Q96="","",IF(CODE(Q96)=35,RIGHT(Q96,1),Q96)*1)</f>
        <v/>
      </c>
      <c r="S96" s="84" t="s">
        <v>88</v>
      </c>
      <c r="T96" s="228"/>
      <c r="U96" s="229"/>
    </row>
    <row r="97" spans="2:21" hidden="1" x14ac:dyDescent="0.25">
      <c r="B97" s="101"/>
      <c r="C97" s="28"/>
      <c r="D97" s="3"/>
      <c r="E97" s="3"/>
      <c r="F97" s="3"/>
      <c r="G97" s="61" t="str">
        <f>IF($H$91="JA",RIGHT(LEFT($F$84,3),1),"")</f>
        <v>D</v>
      </c>
      <c r="H97" s="123" t="str">
        <f>IF(G97="","",IF(G97="D","n.v.t.",IF(OR(G96="A",G96="D",G96="E"),RIGHT(LEFT(F84,6),3),RIGHT(LEFT(F84,12),3))))</f>
        <v>n.v.t.</v>
      </c>
      <c r="I97" s="102" t="s">
        <v>1171</v>
      </c>
      <c r="J97" s="117"/>
      <c r="K97" s="117"/>
      <c r="L97" s="117"/>
      <c r="M97" s="117"/>
      <c r="N97" s="1081"/>
      <c r="O97" s="1064"/>
      <c r="P97" s="1088"/>
      <c r="Q97" s="31" t="str">
        <f>IF(AND(Q81=1,S87="JA"),RIGHT(LEFT($S$88,4),1),"")</f>
        <v/>
      </c>
      <c r="R97" s="31" t="str">
        <f>IF(Q97="","",CODE(Q97)-64)</f>
        <v/>
      </c>
      <c r="S97" s="228" t="s">
        <v>419</v>
      </c>
      <c r="T97" s="228"/>
      <c r="U97" s="229"/>
    </row>
    <row r="98" spans="2:21" hidden="1" x14ac:dyDescent="0.25">
      <c r="B98" s="101"/>
      <c r="C98" s="1059" t="str">
        <f>IF($H$91="JA",IF(RIGHT(LEFT($F$84,N103-1),1)="¦","JA","NEE"),"")</f>
        <v>NEE</v>
      </c>
      <c r="D98" s="1060"/>
      <c r="E98" s="575" t="s">
        <v>755</v>
      </c>
      <c r="F98" s="3"/>
      <c r="G98" s="61" t="str">
        <f>IF(OR(G96="B",G96="C"),LEFT(H96,2)*1,"")</f>
        <v/>
      </c>
      <c r="H98" s="123" t="str">
        <f>IF(G98="","",LEFT(RIGHT($F$84,N98),G98))</f>
        <v/>
      </c>
      <c r="I98" s="364" t="s">
        <v>396</v>
      </c>
      <c r="J98" s="117"/>
      <c r="K98" s="117"/>
      <c r="L98" s="117"/>
      <c r="M98" s="117"/>
      <c r="N98" s="1081">
        <f>IF(G98="",0,N99+G98+1)</f>
        <v>0</v>
      </c>
      <c r="O98" s="1064"/>
      <c r="P98" s="1088"/>
      <c r="Q98" s="31" t="str">
        <f>IF(AND(Q81=1,S87="JA"),RIGHT(LEFT($S$88,5),1),"")</f>
        <v/>
      </c>
      <c r="R98" s="31" t="str">
        <f>IF(Q98="","",CODE(Q98)-64)</f>
        <v/>
      </c>
      <c r="S98" s="228" t="s">
        <v>420</v>
      </c>
      <c r="T98" s="228"/>
      <c r="U98" s="229"/>
    </row>
    <row r="99" spans="2:21" hidden="1" x14ac:dyDescent="0.25">
      <c r="B99" s="101"/>
      <c r="C99" s="28"/>
      <c r="D99" s="3"/>
      <c r="E99" s="575" t="s">
        <v>756</v>
      </c>
      <c r="F99" s="3"/>
      <c r="G99" s="61" t="str">
        <f>IF(OR(G96="B",G96="C"),RIGHT(LEFT(H96,4),2)*1,"")</f>
        <v/>
      </c>
      <c r="H99" s="123" t="str">
        <f>IF(G99="","",LEFT(RIGHT($F$84,N99),G99))</f>
        <v/>
      </c>
      <c r="I99" s="364" t="s">
        <v>397</v>
      </c>
      <c r="J99" s="117"/>
      <c r="K99" s="117"/>
      <c r="L99" s="117"/>
      <c r="M99" s="117"/>
      <c r="N99" s="1081">
        <f>IF(G99="",0,N100+G99+1)</f>
        <v>0</v>
      </c>
      <c r="O99" s="1064"/>
      <c r="P99" s="1088"/>
      <c r="Q99" s="31" t="str">
        <f>IF(AND(Q81=1,S87="JA"),RIGHT(LEFT($S$88,6),1),"")</f>
        <v/>
      </c>
      <c r="R99" s="31" t="str">
        <f>IF(Q99="","",CODE(Q99)-64)</f>
        <v/>
      </c>
      <c r="S99" s="228" t="s">
        <v>421</v>
      </c>
      <c r="T99" s="228"/>
      <c r="U99" s="229"/>
    </row>
    <row r="100" spans="2:21" hidden="1" x14ac:dyDescent="0.25">
      <c r="B100" s="101"/>
      <c r="C100" s="28"/>
      <c r="D100" s="3"/>
      <c r="E100" s="3"/>
      <c r="F100" s="3"/>
      <c r="G100" s="61" t="str">
        <f>IF(OR(G96="B",G96="C"),RIGHT(H96,2)*1,"")</f>
        <v/>
      </c>
      <c r="H100" s="123" t="str">
        <f>IF(G100="","",LEFT(RIGHT($F$84,N100),G100))</f>
        <v/>
      </c>
      <c r="I100" s="364" t="s">
        <v>398</v>
      </c>
      <c r="J100" s="117"/>
      <c r="K100" s="117"/>
      <c r="L100" s="117"/>
      <c r="M100" s="117"/>
      <c r="N100" s="1081">
        <f>IF(G100="",0,N101+G100+1)</f>
        <v>0</v>
      </c>
      <c r="O100" s="1064"/>
      <c r="P100" s="1088"/>
      <c r="Q100" s="31" t="str">
        <f>IF(AND(Q81=1,S87="JA"),RIGHT(LEFT($S$88,7),1),"")</f>
        <v/>
      </c>
      <c r="R100" s="31" t="str">
        <f>IF(Q100="","",CODE(Q100)-64)</f>
        <v/>
      </c>
      <c r="S100" s="228" t="s">
        <v>422</v>
      </c>
      <c r="T100" s="228"/>
      <c r="U100" s="229"/>
    </row>
    <row r="101" spans="2:21" hidden="1" x14ac:dyDescent="0.25">
      <c r="B101" s="101"/>
      <c r="C101" s="28"/>
      <c r="D101" s="3"/>
      <c r="E101" s="3"/>
      <c r="F101" s="3"/>
      <c r="G101" s="61" t="str">
        <f>IF(OR(G97="A",G97="B",G97="C"),LEFT(H97,2)*1,"")</f>
        <v/>
      </c>
      <c r="H101" s="123" t="str">
        <f>IF(G101="","",LEFT(RIGHT($F$84,N101),G101))</f>
        <v/>
      </c>
      <c r="I101" s="364" t="s">
        <v>399</v>
      </c>
      <c r="J101" s="117"/>
      <c r="K101" s="117"/>
      <c r="L101" s="117"/>
      <c r="M101" s="117"/>
      <c r="N101" s="1081">
        <f>IF(G101="",0,N102+G101+1)</f>
        <v>0</v>
      </c>
      <c r="O101" s="1064"/>
      <c r="P101" s="1088"/>
      <c r="Q101" s="31" t="str">
        <f>IF(AND(Q81=1,S87="JA"),RIGHT(LEFT($S$88,8),1),"")</f>
        <v/>
      </c>
      <c r="R101" s="31" t="str">
        <f>IF(Q101="","",CODE(Q101)-64)</f>
        <v/>
      </c>
      <c r="S101" s="228" t="s">
        <v>423</v>
      </c>
      <c r="T101" s="228"/>
      <c r="U101" s="229"/>
    </row>
    <row r="102" spans="2:21" hidden="1" x14ac:dyDescent="0.25">
      <c r="B102" s="101"/>
      <c r="C102" s="28"/>
      <c r="D102" s="3"/>
      <c r="E102" s="3"/>
      <c r="F102" s="3"/>
      <c r="G102" s="61" t="str">
        <f>IF(OR(G97="A",G97="B",G97="C"),RIGHT(H97,1)*1,"")</f>
        <v/>
      </c>
      <c r="H102" s="61" t="str">
        <f>IF(G102="","",0.01*LEFT(RIGHT($F$84,N102),G102))</f>
        <v/>
      </c>
      <c r="I102" s="364" t="s">
        <v>1172</v>
      </c>
      <c r="J102" s="117"/>
      <c r="K102" s="117"/>
      <c r="L102" s="117"/>
      <c r="M102" s="117"/>
      <c r="N102" s="1096">
        <f>IF(G102="",0,G102+1)</f>
        <v>0</v>
      </c>
      <c r="O102" s="1097"/>
      <c r="P102" s="1088"/>
      <c r="Q102" s="388"/>
      <c r="R102" s="228"/>
      <c r="S102" s="228"/>
      <c r="T102" s="228"/>
      <c r="U102" s="229"/>
    </row>
    <row r="103" spans="2:21" hidden="1" x14ac:dyDescent="0.25">
      <c r="B103" s="101"/>
      <c r="C103" s="28"/>
      <c r="D103" s="3"/>
      <c r="E103" s="3"/>
      <c r="F103" s="3"/>
      <c r="G103" s="61" t="str">
        <f>IF($H$91="JA",RIGHT(LEFT($F$84,N103),1),"")</f>
        <v>P</v>
      </c>
      <c r="H103" s="61" t="str">
        <f>IF(G103="","",IF(G103="E","€",CHAR(37)))</f>
        <v>%</v>
      </c>
      <c r="I103" s="3" t="s">
        <v>34</v>
      </c>
      <c r="J103" s="117"/>
      <c r="K103" s="117"/>
      <c r="L103" s="117"/>
      <c r="M103" s="117"/>
      <c r="N103" s="1081">
        <f>IF($H$91="JA",5+IF(OR(G96="A",G96="D",G96="E"),0,6)+IF(G97="D",0,3),0)</f>
        <v>5</v>
      </c>
      <c r="O103" s="1064"/>
      <c r="P103" s="1088"/>
      <c r="Q103" s="388"/>
      <c r="R103" s="228"/>
      <c r="S103" s="228"/>
      <c r="T103" s="228"/>
      <c r="U103" s="229"/>
    </row>
    <row r="104" spans="2:21" hidden="1" x14ac:dyDescent="0.25">
      <c r="B104" s="101"/>
      <c r="C104" s="28"/>
      <c r="D104" s="3"/>
      <c r="E104" s="3"/>
      <c r="F104" s="3"/>
      <c r="G104" s="61" t="str">
        <f>IF($H$91="JA",RIGHT(LEFT($F$84,N104),2),"")</f>
        <v>##</v>
      </c>
      <c r="H104" s="61" t="str">
        <f>IF(OR(G104="",G104="##"),"",IF(G104="XX","X",0+SUBSTITUTE(G104,"#","0")*1))</f>
        <v/>
      </c>
      <c r="I104" s="3" t="s">
        <v>400</v>
      </c>
      <c r="J104" s="3"/>
      <c r="K104" s="3"/>
      <c r="L104" s="3"/>
      <c r="M104" s="117"/>
      <c r="N104" s="1081">
        <f>IF($H$91="JA",N103+3,0)</f>
        <v>8</v>
      </c>
      <c r="O104" s="1064"/>
      <c r="P104" s="1088"/>
      <c r="Q104" s="389"/>
      <c r="R104" s="230"/>
      <c r="S104" s="230"/>
      <c r="T104" s="230"/>
      <c r="U104" s="231"/>
    </row>
    <row r="105" spans="2:21" hidden="1" x14ac:dyDescent="0.25">
      <c r="B105" s="101"/>
      <c r="C105" s="28"/>
      <c r="D105" s="71">
        <f>N84-LARGE(N98:O102,1)</f>
        <v>34</v>
      </c>
      <c r="E105" s="3"/>
      <c r="F105" s="3"/>
      <c r="G105" s="61" t="str">
        <f>IF($H$91="JA",RIGHT(LEFT($F$84,N105),2),"")</f>
        <v>##</v>
      </c>
      <c r="H105" s="61" t="str">
        <f>IF(OR(G105="",G105="##"),"",IF(G105="XX","X",0+SUBSTITUTE(G105,"#","0")*1))</f>
        <v/>
      </c>
      <c r="I105" s="3" t="s">
        <v>93</v>
      </c>
      <c r="J105" s="3"/>
      <c r="K105" s="3"/>
      <c r="L105" s="3"/>
      <c r="M105" s="117"/>
      <c r="N105" s="1081">
        <f>IF($H$91="JA",N104+3,0)</f>
        <v>11</v>
      </c>
      <c r="O105" s="1064"/>
      <c r="P105" s="1088"/>
      <c r="Q105" s="384">
        <v>1</v>
      </c>
      <c r="R105" s="385" t="str">
        <f ca="1">Taal03!B35</f>
        <v>januari</v>
      </c>
      <c r="S105" s="385"/>
      <c r="T105" s="62"/>
      <c r="U105" s="63"/>
    </row>
    <row r="106" spans="2:21" hidden="1" x14ac:dyDescent="0.25">
      <c r="B106" s="101"/>
      <c r="C106" s="3"/>
      <c r="D106" s="102">
        <f>N105+1</f>
        <v>12</v>
      </c>
      <c r="E106" s="102">
        <f t="shared" ref="E106:E116" si="4">IF(OR($H$91="NEE",D106=$D$105),$D$105,FIND("|",$F$84,D106+1))</f>
        <v>16</v>
      </c>
      <c r="F106" s="3"/>
      <c r="G106" s="31" t="str">
        <f t="shared" ref="G106:G116" si="5">IF(OR($H$91="NEE",D106=E106),"",MID($F$84,D106+1,E106-D106-1))</f>
        <v>500</v>
      </c>
      <c r="H106" s="33">
        <f t="shared" ref="H106:H116" si="6">IF(G106="",0,G106/100)</f>
        <v>5</v>
      </c>
      <c r="I106" s="103" t="s">
        <v>35</v>
      </c>
      <c r="J106" s="3"/>
      <c r="K106" s="122">
        <f>LARGE(K107:K116,1)</f>
        <v>0</v>
      </c>
      <c r="L106" s="365" t="str">
        <f>"= aantal decimalen"</f>
        <v>= aantal decimalen</v>
      </c>
      <c r="M106" s="31" t="str">
        <f t="shared" ref="M106:M116" si="7">"€"&amp;" "&amp;H106&amp;IF(CODE(LEFT(RIGHT(H106,2),1))=44,"0",IF(CODE(LEFT(RIGHT(H106,3),1))=44,"",",00"))</f>
        <v>€ 5,00</v>
      </c>
      <c r="N106" s="3"/>
      <c r="O106" s="73"/>
      <c r="P106" s="1088"/>
      <c r="Q106" s="386">
        <v>2</v>
      </c>
      <c r="R106" s="232" t="str">
        <f ca="1">Taal03!B36</f>
        <v>februari</v>
      </c>
      <c r="S106" s="64"/>
      <c r="T106" s="64"/>
      <c r="U106" s="65"/>
    </row>
    <row r="107" spans="2:21" hidden="1" x14ac:dyDescent="0.25">
      <c r="B107" s="101"/>
      <c r="C107" s="3"/>
      <c r="D107" s="102">
        <f t="shared" ref="D107:D116" si="8">IF(E106&gt;=$D$105,$D$105,E106)</f>
        <v>16</v>
      </c>
      <c r="E107" s="102">
        <f t="shared" si="4"/>
        <v>21</v>
      </c>
      <c r="F107" s="3"/>
      <c r="G107" s="31" t="str">
        <f t="shared" si="5"/>
        <v>5000</v>
      </c>
      <c r="H107" s="33">
        <f t="shared" si="6"/>
        <v>50</v>
      </c>
      <c r="I107" s="3" t="s">
        <v>36</v>
      </c>
      <c r="J107" s="3"/>
      <c r="K107" s="120">
        <f>IF(G107="",0,IF(RIGHT(G107,1)="0",IF(RIGHT(G107,2)="00",0,1),2))</f>
        <v>0</v>
      </c>
      <c r="L107" s="31" t="str">
        <f>H107&amp;IF($K$106=2,IF($K$106-K107=2,",00",IF($K$106-K107=1,"0","")),IF($K$106=1,IF($K$106-K107=1,",0",""),""))&amp;"% van de inleg"</f>
        <v>50% van de inleg</v>
      </c>
      <c r="M107" s="31" t="str">
        <f t="shared" si="7"/>
        <v>€ 50,00</v>
      </c>
      <c r="N107" s="3"/>
      <c r="O107" s="73"/>
      <c r="P107" s="1088"/>
      <c r="Q107" s="386">
        <v>3</v>
      </c>
      <c r="R107" s="232" t="str">
        <f ca="1">Taal03!B37</f>
        <v>maart</v>
      </c>
      <c r="S107" s="64"/>
      <c r="T107" s="64"/>
      <c r="U107" s="65"/>
    </row>
    <row r="108" spans="2:21" hidden="1" x14ac:dyDescent="0.25">
      <c r="B108" s="101"/>
      <c r="C108" s="3"/>
      <c r="D108" s="102">
        <f t="shared" si="8"/>
        <v>21</v>
      </c>
      <c r="E108" s="102">
        <f t="shared" si="4"/>
        <v>26</v>
      </c>
      <c r="F108" s="3"/>
      <c r="G108" s="31" t="str">
        <f t="shared" si="5"/>
        <v>3000</v>
      </c>
      <c r="H108" s="33">
        <f t="shared" si="6"/>
        <v>30</v>
      </c>
      <c r="I108" s="3" t="s">
        <v>37</v>
      </c>
      <c r="J108" s="3"/>
      <c r="K108" s="120">
        <f t="shared" ref="K108:K116" si="9">IF(G108="",0,IF(RIGHT(G108,1)="0",IF(RIGHT(G108,2)="00",0,1),2))</f>
        <v>0</v>
      </c>
      <c r="L108" s="31" t="str">
        <f t="shared" ref="L108:L116" si="10">H108&amp;IF($K$106=2,IF($K$106-K108=2,",00",IF($K$106-K108=1,"0","")),IF($K$106=1,IF($K$106-K108=1,",0",""),""))&amp;"% van de inleg"</f>
        <v>30% van de inleg</v>
      </c>
      <c r="M108" s="31" t="str">
        <f t="shared" si="7"/>
        <v>€ 30,00</v>
      </c>
      <c r="N108" s="3"/>
      <c r="O108" s="73"/>
      <c r="P108" s="1088"/>
      <c r="Q108" s="386">
        <v>4</v>
      </c>
      <c r="R108" s="232" t="str">
        <f ca="1">Taal03!B38</f>
        <v>april</v>
      </c>
      <c r="S108" s="64"/>
      <c r="T108" s="64"/>
      <c r="U108" s="65"/>
    </row>
    <row r="109" spans="2:21" hidden="1" x14ac:dyDescent="0.25">
      <c r="B109" s="101"/>
      <c r="C109" s="3"/>
      <c r="D109" s="102">
        <f t="shared" si="8"/>
        <v>26</v>
      </c>
      <c r="E109" s="102">
        <f t="shared" si="4"/>
        <v>31</v>
      </c>
      <c r="F109" s="3"/>
      <c r="G109" s="31" t="str">
        <f t="shared" si="5"/>
        <v>2000</v>
      </c>
      <c r="H109" s="33">
        <f t="shared" si="6"/>
        <v>20</v>
      </c>
      <c r="I109" s="3" t="s">
        <v>38</v>
      </c>
      <c r="J109" s="3"/>
      <c r="K109" s="120">
        <f t="shared" si="9"/>
        <v>0</v>
      </c>
      <c r="L109" s="31" t="str">
        <f t="shared" si="10"/>
        <v>20% van de inleg</v>
      </c>
      <c r="M109" s="31" t="str">
        <f t="shared" si="7"/>
        <v>€ 20,00</v>
      </c>
      <c r="N109" s="3"/>
      <c r="O109" s="73"/>
      <c r="P109" s="1088"/>
      <c r="Q109" s="386">
        <v>5</v>
      </c>
      <c r="R109" s="232" t="str">
        <f ca="1">Taal03!B39</f>
        <v>mei</v>
      </c>
      <c r="S109" s="64"/>
      <c r="T109" s="64"/>
      <c r="U109" s="65"/>
    </row>
    <row r="110" spans="2:21" hidden="1" x14ac:dyDescent="0.25">
      <c r="B110" s="101"/>
      <c r="C110" s="3"/>
      <c r="D110" s="102">
        <f t="shared" si="8"/>
        <v>31</v>
      </c>
      <c r="E110" s="102">
        <f t="shared" si="4"/>
        <v>32</v>
      </c>
      <c r="F110" s="3"/>
      <c r="G110" s="31" t="str">
        <f t="shared" si="5"/>
        <v/>
      </c>
      <c r="H110" s="33">
        <f t="shared" si="6"/>
        <v>0</v>
      </c>
      <c r="I110" s="3" t="s">
        <v>39</v>
      </c>
      <c r="J110" s="3"/>
      <c r="K110" s="120">
        <f t="shared" si="9"/>
        <v>0</v>
      </c>
      <c r="L110" s="31" t="str">
        <f t="shared" si="10"/>
        <v>0% van de inleg</v>
      </c>
      <c r="M110" s="31" t="str">
        <f t="shared" si="7"/>
        <v>€ 0,00</v>
      </c>
      <c r="N110" s="3"/>
      <c r="O110" s="73"/>
      <c r="P110" s="1088"/>
      <c r="Q110" s="386">
        <v>6</v>
      </c>
      <c r="R110" s="232" t="str">
        <f ca="1">Taal03!B40</f>
        <v>juni</v>
      </c>
      <c r="S110" s="64"/>
      <c r="T110" s="64"/>
      <c r="U110" s="65"/>
    </row>
    <row r="111" spans="2:21" hidden="1" x14ac:dyDescent="0.25">
      <c r="B111" s="101"/>
      <c r="C111" s="3"/>
      <c r="D111" s="102">
        <f t="shared" si="8"/>
        <v>32</v>
      </c>
      <c r="E111" s="102">
        <f t="shared" si="4"/>
        <v>33</v>
      </c>
      <c r="F111" s="3"/>
      <c r="G111" s="31" t="str">
        <f t="shared" si="5"/>
        <v/>
      </c>
      <c r="H111" s="33">
        <f t="shared" si="6"/>
        <v>0</v>
      </c>
      <c r="I111" s="3" t="s">
        <v>40</v>
      </c>
      <c r="J111" s="3"/>
      <c r="K111" s="120">
        <f t="shared" si="9"/>
        <v>0</v>
      </c>
      <c r="L111" s="31" t="str">
        <f t="shared" si="10"/>
        <v>0% van de inleg</v>
      </c>
      <c r="M111" s="31" t="str">
        <f t="shared" si="7"/>
        <v>€ 0,00</v>
      </c>
      <c r="N111" s="3"/>
      <c r="O111" s="73"/>
      <c r="P111" s="1088"/>
      <c r="Q111" s="386">
        <v>7</v>
      </c>
      <c r="R111" s="232" t="str">
        <f ca="1">Taal03!B41</f>
        <v>juli</v>
      </c>
      <c r="S111" s="64"/>
      <c r="T111" s="64"/>
      <c r="U111" s="65"/>
    </row>
    <row r="112" spans="2:21" hidden="1" x14ac:dyDescent="0.25">
      <c r="B112" s="101"/>
      <c r="C112" s="3"/>
      <c r="D112" s="102">
        <f t="shared" si="8"/>
        <v>33</v>
      </c>
      <c r="E112" s="102">
        <f t="shared" si="4"/>
        <v>34</v>
      </c>
      <c r="F112" s="3"/>
      <c r="G112" s="31" t="str">
        <f t="shared" si="5"/>
        <v/>
      </c>
      <c r="H112" s="33">
        <f t="shared" si="6"/>
        <v>0</v>
      </c>
      <c r="I112" s="3" t="s">
        <v>41</v>
      </c>
      <c r="J112" s="3"/>
      <c r="K112" s="120">
        <f t="shared" si="9"/>
        <v>0</v>
      </c>
      <c r="L112" s="31" t="str">
        <f t="shared" si="10"/>
        <v>0% van de inleg</v>
      </c>
      <c r="M112" s="31" t="str">
        <f t="shared" si="7"/>
        <v>€ 0,00</v>
      </c>
      <c r="N112" s="3"/>
      <c r="O112" s="73"/>
      <c r="P112" s="1088"/>
      <c r="Q112" s="386">
        <v>8</v>
      </c>
      <c r="R112" s="232" t="str">
        <f ca="1">Taal03!B42</f>
        <v>augustus</v>
      </c>
      <c r="S112" s="64"/>
      <c r="T112" s="64"/>
      <c r="U112" s="65"/>
    </row>
    <row r="113" spans="2:21" hidden="1" x14ac:dyDescent="0.25">
      <c r="B113" s="101"/>
      <c r="C113" s="3"/>
      <c r="D113" s="102">
        <f t="shared" si="8"/>
        <v>34</v>
      </c>
      <c r="E113" s="102">
        <f t="shared" si="4"/>
        <v>34</v>
      </c>
      <c r="F113" s="3"/>
      <c r="G113" s="31" t="str">
        <f t="shared" si="5"/>
        <v/>
      </c>
      <c r="H113" s="33">
        <f t="shared" si="6"/>
        <v>0</v>
      </c>
      <c r="I113" s="3" t="s">
        <v>42</v>
      </c>
      <c r="J113" s="3"/>
      <c r="K113" s="120">
        <f t="shared" si="9"/>
        <v>0</v>
      </c>
      <c r="L113" s="31" t="str">
        <f t="shared" si="10"/>
        <v>0% van de inleg</v>
      </c>
      <c r="M113" s="31" t="str">
        <f t="shared" si="7"/>
        <v>€ 0,00</v>
      </c>
      <c r="N113" s="3"/>
      <c r="O113" s="73"/>
      <c r="P113" s="1088"/>
      <c r="Q113" s="386">
        <v>9</v>
      </c>
      <c r="R113" s="232" t="str">
        <f ca="1">Taal03!B43</f>
        <v>september</v>
      </c>
      <c r="S113" s="64"/>
      <c r="T113" s="64"/>
      <c r="U113" s="65"/>
    </row>
    <row r="114" spans="2:21" hidden="1" x14ac:dyDescent="0.25">
      <c r="B114" s="101"/>
      <c r="C114" s="3"/>
      <c r="D114" s="102">
        <f t="shared" si="8"/>
        <v>34</v>
      </c>
      <c r="E114" s="102">
        <f t="shared" si="4"/>
        <v>34</v>
      </c>
      <c r="F114" s="3"/>
      <c r="G114" s="31" t="str">
        <f t="shared" si="5"/>
        <v/>
      </c>
      <c r="H114" s="33">
        <f t="shared" si="6"/>
        <v>0</v>
      </c>
      <c r="I114" s="3" t="s">
        <v>43</v>
      </c>
      <c r="J114" s="3"/>
      <c r="K114" s="120">
        <f t="shared" si="9"/>
        <v>0</v>
      </c>
      <c r="L114" s="31" t="str">
        <f t="shared" si="10"/>
        <v>0% van de inleg</v>
      </c>
      <c r="M114" s="31" t="str">
        <f t="shared" si="7"/>
        <v>€ 0,00</v>
      </c>
      <c r="N114" s="3"/>
      <c r="O114" s="73"/>
      <c r="P114" s="1088"/>
      <c r="Q114" s="386">
        <v>10</v>
      </c>
      <c r="R114" s="232" t="str">
        <f ca="1">Taal03!B44</f>
        <v>oktober</v>
      </c>
      <c r="S114" s="64"/>
      <c r="T114" s="64"/>
      <c r="U114" s="65"/>
    </row>
    <row r="115" spans="2:21" hidden="1" x14ac:dyDescent="0.25">
      <c r="B115" s="101"/>
      <c r="C115" s="3"/>
      <c r="D115" s="102">
        <f t="shared" si="8"/>
        <v>34</v>
      </c>
      <c r="E115" s="102">
        <f t="shared" si="4"/>
        <v>34</v>
      </c>
      <c r="F115" s="3"/>
      <c r="G115" s="31" t="str">
        <f t="shared" si="5"/>
        <v/>
      </c>
      <c r="H115" s="33">
        <f t="shared" si="6"/>
        <v>0</v>
      </c>
      <c r="I115" s="3" t="s">
        <v>44</v>
      </c>
      <c r="J115" s="3"/>
      <c r="K115" s="120">
        <f t="shared" si="9"/>
        <v>0</v>
      </c>
      <c r="L115" s="31" t="str">
        <f t="shared" si="10"/>
        <v>0% van de inleg</v>
      </c>
      <c r="M115" s="31" t="str">
        <f t="shared" si="7"/>
        <v>€ 0,00</v>
      </c>
      <c r="N115" s="3"/>
      <c r="O115" s="73"/>
      <c r="P115" s="1088"/>
      <c r="Q115" s="386">
        <v>11</v>
      </c>
      <c r="R115" s="232" t="str">
        <f ca="1">Taal03!B45</f>
        <v>november</v>
      </c>
      <c r="S115" s="64"/>
      <c r="T115" s="64"/>
      <c r="U115" s="65"/>
    </row>
    <row r="116" spans="2:21" hidden="1" x14ac:dyDescent="0.25">
      <c r="B116" s="104"/>
      <c r="C116" s="81"/>
      <c r="D116" s="102">
        <f t="shared" si="8"/>
        <v>34</v>
      </c>
      <c r="E116" s="102">
        <f t="shared" si="4"/>
        <v>34</v>
      </c>
      <c r="F116" s="81"/>
      <c r="G116" s="31" t="str">
        <f t="shared" si="5"/>
        <v/>
      </c>
      <c r="H116" s="33">
        <f t="shared" si="6"/>
        <v>0</v>
      </c>
      <c r="I116" s="79" t="s">
        <v>45</v>
      </c>
      <c r="J116" s="81"/>
      <c r="K116" s="121">
        <f t="shared" si="9"/>
        <v>0</v>
      </c>
      <c r="L116" s="31" t="str">
        <f t="shared" si="10"/>
        <v>0% van de inleg</v>
      </c>
      <c r="M116" s="31" t="str">
        <f t="shared" si="7"/>
        <v>€ 0,00</v>
      </c>
      <c r="N116" s="81"/>
      <c r="O116" s="83"/>
      <c r="P116" s="1089"/>
      <c r="Q116" s="387">
        <v>12</v>
      </c>
      <c r="R116" s="615" t="str">
        <f ca="1">Taal03!B46</f>
        <v>december</v>
      </c>
      <c r="S116" s="66"/>
      <c r="T116" s="66"/>
      <c r="U116" s="67"/>
    </row>
    <row r="117" spans="2:21" hidden="1" x14ac:dyDescent="0.25">
      <c r="B117" s="101">
        <v>3</v>
      </c>
      <c r="C117" s="29" t="s">
        <v>149</v>
      </c>
      <c r="D117" s="82"/>
      <c r="E117" s="30"/>
      <c r="F117" s="82"/>
      <c r="G117" s="31" t="str">
        <f>RIGHT(LEFT($F$85,B117),2)</f>
        <v>30</v>
      </c>
      <c r="H117" s="31">
        <f>IF(OR(G117="",G117="##"),"",IF(CODE(G117)=35,RIGHT(G117,1),G117)*1)</f>
        <v>30</v>
      </c>
      <c r="I117" s="74" t="s">
        <v>157</v>
      </c>
      <c r="J117" s="82"/>
      <c r="K117" s="82"/>
      <c r="L117" s="3"/>
      <c r="M117" s="3"/>
      <c r="N117" s="3"/>
      <c r="O117" s="73"/>
      <c r="Q117" s="383"/>
      <c r="R117" s="15"/>
      <c r="S117" s="15"/>
      <c r="T117" s="15"/>
      <c r="U117" s="15"/>
    </row>
    <row r="118" spans="2:21" hidden="1" x14ac:dyDescent="0.25">
      <c r="B118" s="101">
        <f t="shared" ref="B118:B126" si="11">B117+3</f>
        <v>6</v>
      </c>
      <c r="C118" s="3"/>
      <c r="D118" s="3"/>
      <c r="E118" s="3"/>
      <c r="F118" s="3"/>
      <c r="G118" s="31" t="str">
        <f>RIGHT(LEFT($F$85,B118),2)</f>
        <v>22</v>
      </c>
      <c r="H118" s="31">
        <f>IF(OR(G118="",G118="##"),"",IF(CODE(G118)=35,RIGHT(G118,1),G118)*1)</f>
        <v>22</v>
      </c>
      <c r="I118" s="74" t="s">
        <v>164</v>
      </c>
      <c r="J118" s="3"/>
      <c r="K118" s="3"/>
      <c r="L118" s="97"/>
      <c r="M118" s="3"/>
      <c r="N118" s="3"/>
      <c r="O118" s="73"/>
      <c r="Q118" s="622" t="s">
        <v>243</v>
      </c>
      <c r="R118" s="15"/>
      <c r="S118" s="15"/>
      <c r="T118" s="15"/>
      <c r="U118" s="15"/>
    </row>
    <row r="119" spans="2:21" hidden="1" x14ac:dyDescent="0.25">
      <c r="B119" s="101">
        <f t="shared" si="11"/>
        <v>9</v>
      </c>
      <c r="C119" s="1105" t="s">
        <v>64</v>
      </c>
      <c r="D119" s="1106"/>
      <c r="E119" s="575" t="s">
        <v>773</v>
      </c>
      <c r="F119" s="97"/>
      <c r="G119" s="31" t="str">
        <f>RIGHT(LEFT($F$85,B119),2)</f>
        <v>#0</v>
      </c>
      <c r="H119" s="31">
        <f>IF(OR(G119="",G119="##"),"",IF(CODE(G119)=35,RIGHT(G119,1),G119)*1)</f>
        <v>0</v>
      </c>
      <c r="I119" s="124" t="s">
        <v>163</v>
      </c>
      <c r="J119" s="3"/>
      <c r="K119" s="3"/>
      <c r="L119" s="3"/>
      <c r="M119" s="3"/>
      <c r="N119" s="117"/>
      <c r="O119" s="118"/>
      <c r="Q119" s="624" t="s">
        <v>244</v>
      </c>
      <c r="R119" s="15"/>
      <c r="S119" s="15"/>
      <c r="T119" s="15"/>
      <c r="U119" s="15"/>
    </row>
    <row r="120" spans="2:21" hidden="1" x14ac:dyDescent="0.25">
      <c r="B120" s="101">
        <f t="shared" si="11"/>
        <v>12</v>
      </c>
      <c r="C120" s="28"/>
      <c r="D120" s="3"/>
      <c r="E120" s="575"/>
      <c r="F120" s="97"/>
      <c r="G120" s="31" t="str">
        <f>RIGHT(LEFT($F$85,B120),2)</f>
        <v>16</v>
      </c>
      <c r="H120" s="31">
        <f>IF(OR(G120="",G120="##"),"",IF(CODE(G120)=35,RIGHT(G120,1),G120)*1)</f>
        <v>16</v>
      </c>
      <c r="I120" s="74" t="s">
        <v>162</v>
      </c>
      <c r="J120" s="97"/>
      <c r="K120" s="3"/>
      <c r="L120" s="3"/>
      <c r="M120" s="3"/>
      <c r="N120" s="3"/>
      <c r="O120" s="73"/>
      <c r="Q120" s="622" t="s">
        <v>245</v>
      </c>
      <c r="R120" s="15"/>
      <c r="S120" s="15"/>
      <c r="T120" s="15"/>
      <c r="U120" s="15"/>
    </row>
    <row r="121" spans="2:21" hidden="1" x14ac:dyDescent="0.25">
      <c r="B121" s="101">
        <f t="shared" si="11"/>
        <v>15</v>
      </c>
      <c r="C121" s="3"/>
      <c r="D121" s="97"/>
      <c r="E121" s="97"/>
      <c r="F121" s="97"/>
      <c r="G121" s="31" t="str">
        <f>RIGHT(LEFT($F$85,B121),2)</f>
        <v>10</v>
      </c>
      <c r="H121" s="31">
        <f>IF(OR(G121="",G121="##"),"",IF(CODE(G121)=35,RIGHT(G121,1),G121)*1)</f>
        <v>10</v>
      </c>
      <c r="I121" s="74" t="s">
        <v>161</v>
      </c>
      <c r="J121" s="3"/>
      <c r="K121" s="3"/>
      <c r="L121" s="3"/>
      <c r="M121" s="3"/>
      <c r="N121" s="3"/>
      <c r="O121" s="73"/>
      <c r="Q121" s="624" t="s">
        <v>246</v>
      </c>
      <c r="R121" s="15"/>
      <c r="S121" s="15"/>
      <c r="T121" s="15"/>
      <c r="U121" s="15"/>
    </row>
    <row r="122" spans="2:21" hidden="1" x14ac:dyDescent="0.25">
      <c r="B122" s="101">
        <f t="shared" si="11"/>
        <v>18</v>
      </c>
      <c r="C122" s="3"/>
      <c r="D122" s="97"/>
      <c r="E122" s="97"/>
      <c r="F122" s="97"/>
      <c r="G122" s="31" t="str">
        <f t="shared" ref="G122:G126" si="12">RIGHT(LEFT($F$85,B122),2)</f>
        <v>#4</v>
      </c>
      <c r="H122" s="31">
        <f t="shared" ref="H122:H126" si="13">IF(OR(G122="",G122="##"),"",IF(CODE(G122)=35,RIGHT(G122,1),G122)*1)</f>
        <v>4</v>
      </c>
      <c r="I122" s="124" t="s">
        <v>160</v>
      </c>
      <c r="J122" s="3"/>
      <c r="K122" s="3"/>
      <c r="L122" s="3"/>
      <c r="M122" s="3"/>
      <c r="N122" s="3"/>
      <c r="O122" s="73"/>
      <c r="Q122" s="622" t="s">
        <v>250</v>
      </c>
      <c r="R122" s="15"/>
      <c r="S122" s="15"/>
      <c r="T122" s="15"/>
      <c r="U122" s="15"/>
    </row>
    <row r="123" spans="2:21" hidden="1" x14ac:dyDescent="0.25">
      <c r="B123" s="101">
        <f t="shared" si="11"/>
        <v>21</v>
      </c>
      <c r="C123" s="3"/>
      <c r="D123" s="3"/>
      <c r="E123" s="3"/>
      <c r="F123" s="3"/>
      <c r="G123" s="31" t="str">
        <f t="shared" si="12"/>
        <v>#5</v>
      </c>
      <c r="H123" s="619">
        <f t="shared" si="13"/>
        <v>5</v>
      </c>
      <c r="I123" s="3" t="s">
        <v>159</v>
      </c>
      <c r="J123" s="3"/>
      <c r="K123" s="3"/>
      <c r="L123" s="3"/>
      <c r="M123" s="3"/>
      <c r="N123" s="3"/>
      <c r="O123" s="73"/>
      <c r="Q123" s="624" t="s">
        <v>252</v>
      </c>
      <c r="R123" s="15"/>
      <c r="S123" s="15"/>
      <c r="T123" s="15"/>
      <c r="U123" s="15"/>
    </row>
    <row r="124" spans="2:21" hidden="1" x14ac:dyDescent="0.25">
      <c r="B124" s="101">
        <f t="shared" si="11"/>
        <v>24</v>
      </c>
      <c r="C124" s="3"/>
      <c r="D124" s="3"/>
      <c r="E124" s="3"/>
      <c r="F124" s="3"/>
      <c r="G124" s="31" t="str">
        <f t="shared" si="12"/>
        <v>#3</v>
      </c>
      <c r="H124" s="31">
        <f t="shared" si="13"/>
        <v>3</v>
      </c>
      <c r="I124" s="74" t="s">
        <v>158</v>
      </c>
      <c r="J124" s="3"/>
      <c r="K124" s="3"/>
      <c r="L124" s="3"/>
      <c r="M124" s="3"/>
      <c r="N124" s="3"/>
      <c r="O124" s="73"/>
      <c r="Q124" s="622" t="s">
        <v>251</v>
      </c>
      <c r="R124" s="15"/>
      <c r="S124" s="15"/>
      <c r="T124" s="15"/>
      <c r="U124" s="15"/>
    </row>
    <row r="125" spans="2:21" hidden="1" x14ac:dyDescent="0.25">
      <c r="B125" s="101">
        <f t="shared" si="11"/>
        <v>27</v>
      </c>
      <c r="C125" s="3"/>
      <c r="D125" s="3"/>
      <c r="E125" s="3"/>
      <c r="F125" s="3"/>
      <c r="G125" s="31" t="str">
        <f t="shared" si="12"/>
        <v>#1</v>
      </c>
      <c r="H125" s="31">
        <f t="shared" si="13"/>
        <v>1</v>
      </c>
      <c r="I125" s="74" t="s">
        <v>382</v>
      </c>
      <c r="J125" s="3"/>
      <c r="K125" s="3"/>
      <c r="L125" s="3"/>
      <c r="M125" s="3"/>
      <c r="N125" s="3"/>
      <c r="O125" s="73"/>
      <c r="Q125" s="624" t="s">
        <v>253</v>
      </c>
      <c r="R125" s="15"/>
      <c r="S125" s="15"/>
      <c r="T125" s="15"/>
      <c r="U125" s="15"/>
    </row>
    <row r="126" spans="2:21" hidden="1" x14ac:dyDescent="0.25">
      <c r="B126" s="101">
        <f t="shared" si="11"/>
        <v>30</v>
      </c>
      <c r="C126" s="3"/>
      <c r="D126" s="3"/>
      <c r="E126" s="3"/>
      <c r="F126" s="3"/>
      <c r="G126" s="31" t="str">
        <f t="shared" si="12"/>
        <v>##</v>
      </c>
      <c r="H126" s="31" t="str">
        <f t="shared" si="13"/>
        <v/>
      </c>
      <c r="I126" s="74" t="s">
        <v>410</v>
      </c>
      <c r="J126" s="3"/>
      <c r="K126" s="3"/>
      <c r="L126" s="3"/>
      <c r="M126" s="3"/>
      <c r="N126" s="3"/>
      <c r="O126" s="73"/>
      <c r="Q126" s="622" t="s">
        <v>247</v>
      </c>
      <c r="R126" s="15"/>
      <c r="S126" s="15"/>
      <c r="T126" s="15"/>
      <c r="U126" s="15"/>
    </row>
    <row r="127" spans="2:21" hidden="1" x14ac:dyDescent="0.25">
      <c r="B127" s="101">
        <f>B126+4</f>
        <v>34</v>
      </c>
      <c r="C127" s="858"/>
      <c r="D127" s="858"/>
      <c r="E127" s="858"/>
      <c r="F127" s="859" t="str">
        <f>IF(OR(G127="",G127="X##"),"",LEFT(G127,1))</f>
        <v/>
      </c>
      <c r="G127" s="859" t="str">
        <f>RIGHT(LEFT($F$85,B127),3)</f>
        <v>X##</v>
      </c>
      <c r="H127" s="859" t="str">
        <f>IF(OR(G127="",G127="X##"),"",SUBSTITUTE(RIGHT(G127,2),"#",0)*1)</f>
        <v/>
      </c>
      <c r="I127" s="124" t="s">
        <v>1953</v>
      </c>
      <c r="J127" s="3"/>
      <c r="K127" s="3"/>
      <c r="L127" s="3"/>
      <c r="M127" s="3"/>
      <c r="N127" s="3"/>
      <c r="O127" s="73"/>
      <c r="Q127" s="624" t="s">
        <v>248</v>
      </c>
      <c r="R127" s="15"/>
      <c r="S127" s="15"/>
      <c r="T127" s="15"/>
      <c r="U127" s="15"/>
    </row>
    <row r="128" spans="2:21" hidden="1" x14ac:dyDescent="0.25">
      <c r="B128" s="101">
        <f>B127+4</f>
        <v>38</v>
      </c>
      <c r="C128" s="858"/>
      <c r="D128" s="858"/>
      <c r="E128" s="858"/>
      <c r="F128" s="859" t="str">
        <f>IF(OR(G128="",G128="X##"),"",LEFT(G128,1))</f>
        <v/>
      </c>
      <c r="G128" s="859" t="str">
        <f>RIGHT(LEFT($F$85,B128),3)</f>
        <v>X##</v>
      </c>
      <c r="H128" s="859" t="str">
        <f>IF(OR(G128="",G128="X##"),"",SUBSTITUTE(RIGHT(G128,2),"#",0)*1)</f>
        <v/>
      </c>
      <c r="I128" s="124" t="s">
        <v>1954</v>
      </c>
      <c r="J128" s="3"/>
      <c r="K128" s="3"/>
      <c r="L128" s="3"/>
      <c r="M128" s="3"/>
      <c r="N128" s="3"/>
      <c r="O128" s="73"/>
      <c r="Q128" s="622" t="s">
        <v>241</v>
      </c>
      <c r="R128" s="15"/>
      <c r="S128" s="15"/>
      <c r="T128" s="15"/>
      <c r="U128" s="15"/>
    </row>
    <row r="129" spans="2:21" hidden="1" x14ac:dyDescent="0.25">
      <c r="B129" s="101">
        <f>B128+4</f>
        <v>42</v>
      </c>
      <c r="C129" s="858"/>
      <c r="D129" s="858"/>
      <c r="E129" s="858"/>
      <c r="F129" s="859" t="str">
        <f>IF(OR(G129="",G129="X##"),"",LEFT(G129,1))</f>
        <v/>
      </c>
      <c r="G129" s="859" t="str">
        <f>RIGHT(LEFT($F$85,B129),3)</f>
        <v>X##</v>
      </c>
      <c r="H129" s="859" t="str">
        <f>IF(OR(G129="",G129="X##"),"",SUBSTITUTE(RIGHT(G129,2),"#",0)*1)</f>
        <v/>
      </c>
      <c r="I129" s="124" t="s">
        <v>1955</v>
      </c>
      <c r="J129" s="3"/>
      <c r="K129" s="3"/>
      <c r="L129" s="3"/>
      <c r="M129" s="3"/>
      <c r="N129" s="3"/>
      <c r="O129" s="73"/>
      <c r="Q129" s="624" t="s">
        <v>242</v>
      </c>
      <c r="R129" s="15"/>
      <c r="S129" s="15"/>
      <c r="T129" s="15"/>
      <c r="U129" s="15"/>
    </row>
    <row r="130" spans="2:21" hidden="1" x14ac:dyDescent="0.25">
      <c r="B130" s="101">
        <f>B129+2</f>
        <v>44</v>
      </c>
      <c r="C130" s="3"/>
      <c r="D130" s="3"/>
      <c r="E130" s="3"/>
      <c r="F130" s="3"/>
      <c r="G130" s="1079" t="str">
        <f>RIGHT(LEFT($F$85,B130),1)</f>
        <v>B</v>
      </c>
      <c r="H130" s="1080"/>
      <c r="I130" s="74" t="s">
        <v>412</v>
      </c>
      <c r="J130" s="3"/>
      <c r="K130" s="3"/>
      <c r="L130" s="3"/>
      <c r="M130" s="3"/>
      <c r="N130" s="3"/>
      <c r="O130" s="73"/>
      <c r="Q130" s="622" t="s">
        <v>235</v>
      </c>
      <c r="R130" s="15"/>
      <c r="S130" s="15"/>
      <c r="T130" s="15"/>
      <c r="U130" s="15"/>
    </row>
    <row r="131" spans="2:21" hidden="1" x14ac:dyDescent="0.25">
      <c r="B131" s="101">
        <f>B130+1</f>
        <v>45</v>
      </c>
      <c r="C131" s="3"/>
      <c r="D131" s="3"/>
      <c r="E131" s="3"/>
      <c r="F131" s="3"/>
      <c r="G131" s="1079" t="str">
        <f>IF(RIGHT(LEFT($F$85,B131),1)="#","",RIGHT(LEFT($F$85,B131),1))</f>
        <v>A</v>
      </c>
      <c r="H131" s="1080"/>
      <c r="I131" s="74" t="s">
        <v>156</v>
      </c>
      <c r="J131" s="3"/>
      <c r="K131" s="3"/>
      <c r="L131" s="3"/>
      <c r="M131" s="3"/>
      <c r="N131" s="3"/>
      <c r="O131" s="73"/>
      <c r="Q131" s="624" t="s">
        <v>236</v>
      </c>
      <c r="R131" s="15"/>
      <c r="S131" s="15"/>
      <c r="T131" s="15"/>
      <c r="U131" s="15"/>
    </row>
    <row r="132" spans="2:21" hidden="1" x14ac:dyDescent="0.25">
      <c r="B132" s="101">
        <f>B131+1</f>
        <v>46</v>
      </c>
      <c r="C132" s="3"/>
      <c r="D132" s="3"/>
      <c r="E132" s="3"/>
      <c r="F132" s="3"/>
      <c r="G132" s="31" t="str">
        <f>RIGHT(LEFT($F$85,B132),1)</f>
        <v>N</v>
      </c>
      <c r="H132" s="61" t="str">
        <f>IF(OR(G132="",G132="#"),"",IF(G132="J","JA","NEE"))</f>
        <v>NEE</v>
      </c>
      <c r="I132" s="74" t="s">
        <v>411</v>
      </c>
      <c r="J132" s="3"/>
      <c r="K132" s="3"/>
      <c r="L132" s="3"/>
      <c r="M132" s="3"/>
      <c r="N132" s="3"/>
      <c r="O132" s="73"/>
      <c r="Q132" s="622" t="s">
        <v>380</v>
      </c>
      <c r="R132" s="15"/>
      <c r="S132" s="15"/>
      <c r="T132" s="15"/>
      <c r="U132" s="15"/>
    </row>
    <row r="133" spans="2:21" hidden="1" x14ac:dyDescent="0.25">
      <c r="B133" s="104">
        <f>B132+1</f>
        <v>47</v>
      </c>
      <c r="C133" s="81"/>
      <c r="D133" s="81"/>
      <c r="E133" s="81"/>
      <c r="F133" s="81"/>
      <c r="G133" s="1079" t="str">
        <f>IF(RIGHT(LEFT($F$85,B133),1)="#","",RIGHT(LEFT($F$85,B133),1))</f>
        <v>A</v>
      </c>
      <c r="H133" s="1080"/>
      <c r="I133" s="79" t="s">
        <v>383</v>
      </c>
      <c r="J133" s="81"/>
      <c r="K133" s="81"/>
      <c r="L133" s="81"/>
      <c r="M133" s="81"/>
      <c r="N133" s="81"/>
      <c r="O133" s="83"/>
      <c r="P133" s="15"/>
      <c r="Q133" s="624" t="s">
        <v>234</v>
      </c>
      <c r="R133" s="15"/>
      <c r="S133" s="15"/>
      <c r="T133" s="15"/>
      <c r="U133" s="15"/>
    </row>
    <row r="134" spans="2:21" hidden="1" x14ac:dyDescent="0.25">
      <c r="B134" s="15"/>
      <c r="C134" s="15" t="s">
        <v>254</v>
      </c>
      <c r="D134" s="15"/>
      <c r="E134" s="15"/>
      <c r="F134" s="15"/>
      <c r="G134" s="15" t="str">
        <f>IF(AND(Q81=1,OR(LEFT(G87,1)="d",LEFT(G87,1)="e",LEFT(G87,1)="f",LEFT(G87,1)="g")),"JA","NEE")</f>
        <v>JA</v>
      </c>
      <c r="H134" s="15"/>
      <c r="I134" s="15"/>
      <c r="J134" s="15"/>
      <c r="K134" s="15"/>
      <c r="L134" s="15"/>
      <c r="M134" s="15"/>
      <c r="N134" s="15"/>
      <c r="O134" s="15"/>
      <c r="P134" s="15"/>
      <c r="Q134" s="625" t="s">
        <v>237</v>
      </c>
      <c r="R134" s="15"/>
      <c r="S134" s="15"/>
      <c r="T134" s="15"/>
      <c r="U134" s="15"/>
    </row>
    <row r="135" spans="2:21" hidden="1" x14ac:dyDescent="0.25">
      <c r="B135" s="15"/>
      <c r="C135" s="15" t="s">
        <v>425</v>
      </c>
      <c r="D135" s="15"/>
      <c r="E135" s="15"/>
      <c r="F135" s="15"/>
      <c r="G135" s="15" t="str">
        <f>IF(AND(Q81=1,G124="#0",H124=0),"NEE",IF(Q81=0,"NEE","JA"))</f>
        <v>JA</v>
      </c>
      <c r="H135" s="1092">
        <f>IF(Q81=1,(IF(G134="JA",2,1)&amp;IF(OR(G137="JA",G138="JA"),2,1))*1,"xx")</f>
        <v>22</v>
      </c>
      <c r="I135" s="15" t="s">
        <v>445</v>
      </c>
      <c r="J135" s="15"/>
      <c r="K135" s="15"/>
      <c r="L135" s="15"/>
      <c r="M135" s="15"/>
      <c r="N135" s="15"/>
      <c r="O135" s="15"/>
      <c r="P135" s="15"/>
      <c r="Q135" s="626" t="s">
        <v>238</v>
      </c>
      <c r="R135" s="15"/>
      <c r="S135" s="15"/>
      <c r="T135" s="15"/>
      <c r="U135" s="15"/>
    </row>
    <row r="136" spans="2:21" hidden="1" x14ac:dyDescent="0.25">
      <c r="B136" s="15"/>
      <c r="C136" s="15" t="s">
        <v>255</v>
      </c>
      <c r="D136" s="15"/>
      <c r="E136" s="15"/>
      <c r="F136" s="15"/>
      <c r="G136" s="15" t="str">
        <f>IF(AND(Q81=1,OR(LEFT(G87,1)="d",LEFT(G87,1)="f",LEFT(G87,1)="h",LEFT(G87,1)="j")),"JA","NEE")</f>
        <v>JA</v>
      </c>
      <c r="H136" s="1093"/>
      <c r="I136" s="15" t="s">
        <v>446</v>
      </c>
      <c r="J136" s="15"/>
      <c r="K136" s="15"/>
      <c r="L136" s="15"/>
      <c r="M136" s="15"/>
      <c r="N136" s="15"/>
      <c r="O136" s="15"/>
      <c r="P136" s="15"/>
      <c r="Q136" s="625" t="s">
        <v>239</v>
      </c>
      <c r="R136" s="15"/>
      <c r="S136" s="15"/>
      <c r="T136" s="15"/>
      <c r="U136" s="15"/>
    </row>
    <row r="137" spans="2:21" hidden="1" x14ac:dyDescent="0.25">
      <c r="B137" s="15"/>
      <c r="C137" s="15" t="s">
        <v>256</v>
      </c>
      <c r="D137" s="15"/>
      <c r="E137" s="15"/>
      <c r="F137" s="15"/>
      <c r="G137" s="15" t="str">
        <f>IF(AND(Q81=1,OR(LEFT(G87,1)="d",LEFT(G87,1)="e",LEFT(G87,1)="h",LEFT(G87,1)="i")),"JA","NEE")</f>
        <v>JA</v>
      </c>
      <c r="H137" s="1093"/>
      <c r="I137" s="15" t="s">
        <v>447</v>
      </c>
      <c r="J137" s="15"/>
      <c r="K137" s="15"/>
      <c r="L137" s="15"/>
      <c r="M137" s="15"/>
      <c r="N137" s="15"/>
      <c r="O137" s="15"/>
      <c r="P137" s="15"/>
      <c r="Q137" s="626" t="s">
        <v>240</v>
      </c>
      <c r="R137" s="15"/>
      <c r="S137" s="15"/>
      <c r="T137" s="15"/>
      <c r="U137" s="15"/>
    </row>
    <row r="138" spans="2:21" hidden="1" x14ac:dyDescent="0.25">
      <c r="B138" s="15"/>
      <c r="C138" s="15" t="s">
        <v>257</v>
      </c>
      <c r="D138" s="15"/>
      <c r="E138" s="15"/>
      <c r="F138" s="15"/>
      <c r="G138" s="15" t="str">
        <f>IF(AND(Q81=1,OR(LEFT(G87,1)="d",LEFT(G87,1)="e")),"JA","NEE")</f>
        <v>JA</v>
      </c>
      <c r="H138" s="1094"/>
      <c r="I138" s="15" t="s">
        <v>448</v>
      </c>
      <c r="J138" s="15"/>
      <c r="K138" s="15"/>
      <c r="L138" s="15"/>
      <c r="M138" s="15"/>
      <c r="N138" s="15"/>
      <c r="O138" s="15"/>
      <c r="P138" s="15"/>
      <c r="Q138" s="15"/>
      <c r="R138" s="15"/>
      <c r="S138" s="15"/>
      <c r="T138" s="15"/>
      <c r="U138" s="15"/>
    </row>
    <row r="139" spans="2:21" hidden="1" x14ac:dyDescent="0.25">
      <c r="B139" s="15"/>
      <c r="C139" s="15" t="s">
        <v>99</v>
      </c>
      <c r="D139" s="15"/>
      <c r="E139" s="15"/>
      <c r="F139" s="15"/>
      <c r="G139" s="15" t="str">
        <f>IF(AND(Q81=1,OR(RIGHT(G87,1)="d",RIGHT(G87,1)="e",RIGHT(G87,1)="f",RIGHT(G87,1)="g")),"JA","NEE")</f>
        <v>NEE</v>
      </c>
      <c r="H139" s="15"/>
      <c r="I139" s="424" t="s">
        <v>449</v>
      </c>
      <c r="J139" s="15"/>
      <c r="K139" s="15"/>
      <c r="L139" s="15"/>
      <c r="M139" s="15"/>
      <c r="N139" s="15"/>
      <c r="O139" s="15"/>
      <c r="P139" s="15"/>
      <c r="Q139" s="15"/>
      <c r="R139" s="15"/>
      <c r="S139" s="15"/>
      <c r="T139" s="15"/>
      <c r="U139" s="15"/>
    </row>
    <row r="140" spans="2:21" hidden="1" x14ac:dyDescent="0.25">
      <c r="B140" s="607"/>
      <c r="C140" s="608" t="s">
        <v>529</v>
      </c>
      <c r="D140" s="607"/>
      <c r="E140" s="607"/>
      <c r="F140" s="607"/>
      <c r="G140" s="609">
        <v>2</v>
      </c>
      <c r="H140" s="610" t="s">
        <v>872</v>
      </c>
      <c r="I140" s="607"/>
      <c r="J140" s="607"/>
      <c r="K140" s="607"/>
      <c r="L140" s="607"/>
      <c r="M140" s="607"/>
      <c r="N140" s="607"/>
      <c r="O140" s="607"/>
      <c r="P140" s="607"/>
      <c r="Q140" s="607"/>
      <c r="R140" s="607"/>
      <c r="S140" s="607"/>
      <c r="T140" s="607"/>
      <c r="U140" s="607"/>
    </row>
  </sheetData>
  <sheetProtection algorithmName="SHA-512" hashValue="RhnEkQm1uqRsEbp5jVVdqkcdi/Usdnmx6PJQf57xZacfzla2SPI834+blgI6YMunO4A6rAWZYop2g7Lgb6mpDA==" saltValue="MM75u4Rt9U5b6QqhsJuoaw==" spinCount="100000" sheet="1" objects="1" scenarios="1" selectLockedCells="1" selectUnlockedCells="1"/>
  <mergeCells count="129">
    <mergeCell ref="D14:M15"/>
    <mergeCell ref="C119:D119"/>
    <mergeCell ref="N94:O94"/>
    <mergeCell ref="D69:M69"/>
    <mergeCell ref="O69:P69"/>
    <mergeCell ref="G87:H87"/>
    <mergeCell ref="E67:N67"/>
    <mergeCell ref="E68:N68"/>
    <mergeCell ref="C98:D98"/>
    <mergeCell ref="E63:N63"/>
    <mergeCell ref="O26:P26"/>
    <mergeCell ref="D22:M23"/>
    <mergeCell ref="O22:P22"/>
    <mergeCell ref="O23:P23"/>
    <mergeCell ref="D24:M25"/>
    <mergeCell ref="N93:O93"/>
    <mergeCell ref="E40:N40"/>
    <mergeCell ref="E38:N38"/>
    <mergeCell ref="E39:N39"/>
    <mergeCell ref="N91:O91"/>
    <mergeCell ref="N92:O92"/>
    <mergeCell ref="E35:N35"/>
    <mergeCell ref="E36:N36"/>
    <mergeCell ref="E37:N37"/>
    <mergeCell ref="V2:Z4"/>
    <mergeCell ref="N101:O101"/>
    <mergeCell ref="N102:O102"/>
    <mergeCell ref="O21:P21"/>
    <mergeCell ref="N96:O96"/>
    <mergeCell ref="N95:O95"/>
    <mergeCell ref="D16:M18"/>
    <mergeCell ref="O16:P16"/>
    <mergeCell ref="O17:P17"/>
    <mergeCell ref="O18:P18"/>
    <mergeCell ref="E29:N29"/>
    <mergeCell ref="E30:N30"/>
    <mergeCell ref="E31:N31"/>
    <mergeCell ref="E32:N32"/>
    <mergeCell ref="E33:N33"/>
    <mergeCell ref="E34:N34"/>
    <mergeCell ref="S87:U87"/>
    <mergeCell ref="S88:U88"/>
    <mergeCell ref="S71:U71"/>
    <mergeCell ref="E58:N58"/>
    <mergeCell ref="E59:N59"/>
    <mergeCell ref="E60:N60"/>
    <mergeCell ref="E61:N61"/>
    <mergeCell ref="E62:N62"/>
    <mergeCell ref="H135:H138"/>
    <mergeCell ref="R23:U25"/>
    <mergeCell ref="E47:N47"/>
    <mergeCell ref="E48:N48"/>
    <mergeCell ref="E49:N49"/>
    <mergeCell ref="E50:N50"/>
    <mergeCell ref="E51:N51"/>
    <mergeCell ref="E52:N52"/>
    <mergeCell ref="E53:N53"/>
    <mergeCell ref="E54:N54"/>
    <mergeCell ref="E41:N41"/>
    <mergeCell ref="E42:N42"/>
    <mergeCell ref="E43:N43"/>
    <mergeCell ref="E44:N44"/>
    <mergeCell ref="E45:N45"/>
    <mergeCell ref="E46:N46"/>
    <mergeCell ref="G133:H133"/>
    <mergeCell ref="G130:H130"/>
    <mergeCell ref="N104:O104"/>
    <mergeCell ref="N105:O105"/>
    <mergeCell ref="N97:O97"/>
    <mergeCell ref="N98:O98"/>
    <mergeCell ref="N99:O99"/>
    <mergeCell ref="N100:O100"/>
    <mergeCell ref="G131:H131"/>
    <mergeCell ref="N103:O103"/>
    <mergeCell ref="R1:S1"/>
    <mergeCell ref="R2:S2"/>
    <mergeCell ref="R3:S3"/>
    <mergeCell ref="Q87:R87"/>
    <mergeCell ref="C82:E82"/>
    <mergeCell ref="F82:M82"/>
    <mergeCell ref="N82:O82"/>
    <mergeCell ref="C83:E83"/>
    <mergeCell ref="F83:M83"/>
    <mergeCell ref="N83:O83"/>
    <mergeCell ref="O70:P70"/>
    <mergeCell ref="O71:P71"/>
    <mergeCell ref="O72:P72"/>
    <mergeCell ref="N81:O81"/>
    <mergeCell ref="P81:P116"/>
    <mergeCell ref="N87:O87"/>
    <mergeCell ref="N88:O88"/>
    <mergeCell ref="O27:P27"/>
    <mergeCell ref="O28:P28"/>
    <mergeCell ref="D19:M21"/>
    <mergeCell ref="O19:P19"/>
    <mergeCell ref="O20:P20"/>
    <mergeCell ref="O1:P1"/>
    <mergeCell ref="C2:N2"/>
    <mergeCell ref="O2:P2"/>
    <mergeCell ref="O4:P4"/>
    <mergeCell ref="O5:P5"/>
    <mergeCell ref="O6:P6"/>
    <mergeCell ref="D12:M13"/>
    <mergeCell ref="O12:P12"/>
    <mergeCell ref="O13:P13"/>
    <mergeCell ref="D7:M9"/>
    <mergeCell ref="O7:P7"/>
    <mergeCell ref="O8:P8"/>
    <mergeCell ref="O9:P9"/>
    <mergeCell ref="O10:P10"/>
    <mergeCell ref="O11:P11"/>
    <mergeCell ref="D10:N11"/>
    <mergeCell ref="O24:P24"/>
    <mergeCell ref="O25:P25"/>
    <mergeCell ref="E56:N56"/>
    <mergeCell ref="E57:N57"/>
    <mergeCell ref="E55:N55"/>
    <mergeCell ref="C89:D89"/>
    <mergeCell ref="Q88:R88"/>
    <mergeCell ref="N84:O84"/>
    <mergeCell ref="C85:E85"/>
    <mergeCell ref="F85:M85"/>
    <mergeCell ref="N85:O85"/>
    <mergeCell ref="G88:G90"/>
    <mergeCell ref="C84:E84"/>
    <mergeCell ref="E64:N64"/>
    <mergeCell ref="E65:N65"/>
    <mergeCell ref="E66:N66"/>
    <mergeCell ref="F84:M84"/>
  </mergeCells>
  <conditionalFormatting sqref="B2:P72">
    <cfRule type="expression" dxfId="82" priority="58">
      <formula>$Q$81=0</formula>
    </cfRule>
  </conditionalFormatting>
  <conditionalFormatting sqref="C2:N2">
    <cfRule type="expression" dxfId="81" priority="1">
      <formula>$Q$81=0</formula>
    </cfRule>
  </conditionalFormatting>
  <conditionalFormatting sqref="D3 M3 D5 D27 D71 M71">
    <cfRule type="expression" dxfId="80" priority="57">
      <formula>$A$1="A000000000"</formula>
    </cfRule>
    <cfRule type="expression" dxfId="79" priority="60">
      <formula>$A$1="A255255255"</formula>
    </cfRule>
  </conditionalFormatting>
  <conditionalFormatting sqref="E29:E68">
    <cfRule type="expression" dxfId="78" priority="61">
      <formula>OR(R29=100,R29=200,R29=300,R29=400,R29=500,R29=600)</formula>
    </cfRule>
  </conditionalFormatting>
  <conditionalFormatting sqref="E29:N68">
    <cfRule type="expression" dxfId="77" priority="8260">
      <formula>IF(OR(D28="-",D29="-",LEFT(E29,5)="  ●  "),TRUE(),FALSE())</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03">
    <tabColor rgb="FF0050A0"/>
  </sheetPr>
  <dimension ref="A1:W109"/>
  <sheetViews>
    <sheetView showRowColHeaders="0" zoomScaleNormal="100" workbookViewId="0"/>
  </sheetViews>
  <sheetFormatPr defaultColWidth="9.140625" defaultRowHeight="15" x14ac:dyDescent="0.25"/>
  <cols>
    <col min="1" max="1" width="2.7109375" style="93" customWidth="1"/>
    <col min="2"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4.7109375" style="44" customWidth="1"/>
    <col min="17" max="17" width="12.7109375" style="44" hidden="1" customWidth="1"/>
    <col min="18" max="18" width="32.7109375" style="44" hidden="1" customWidth="1"/>
    <col min="19" max="20" width="26.7109375" style="44" customWidth="1"/>
    <col min="21" max="16384" width="9.140625" style="44"/>
  </cols>
  <sheetData>
    <row r="1" spans="1:23"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47"/>
      <c r="Q1" s="5"/>
      <c r="R1" s="5"/>
    </row>
    <row r="2" spans="1:23" ht="15" customHeight="1" x14ac:dyDescent="0.25">
      <c r="B2" s="105"/>
      <c r="C2" s="1076" t="str">
        <f>IF(AND(N91=0,P91=1),"LET OP: DEZE POOL MAAKT GEEN GEBRUIKT VAN EEN PRIJZENPOT",Reglement!C2)</f>
        <v/>
      </c>
      <c r="D2" s="1076"/>
      <c r="E2" s="1076"/>
      <c r="F2" s="1076"/>
      <c r="G2" s="1076"/>
      <c r="H2" s="1076"/>
      <c r="I2" s="1076"/>
      <c r="J2" s="1076"/>
      <c r="K2" s="1076"/>
      <c r="L2" s="1076"/>
      <c r="M2" s="1076"/>
      <c r="N2" s="1076"/>
      <c r="O2" s="411"/>
      <c r="Q2" s="5"/>
      <c r="R2" s="5"/>
      <c r="S2" s="1033" t="str">
        <f ca="1">Taal01!$B$38</f>
        <v>Prijzenpot</v>
      </c>
      <c r="T2" s="1033"/>
      <c r="U2" s="1033"/>
      <c r="V2" s="1033"/>
      <c r="W2" s="1033"/>
    </row>
    <row r="3" spans="1:23" ht="15" customHeight="1" x14ac:dyDescent="0.25">
      <c r="B3" s="17"/>
      <c r="C3" s="974"/>
      <c r="D3" s="988" t="str">
        <f ca="1">IF(P91=1,Taal03!B6&amp;IF(Q5*Q7=1," "&amp;SUBSTITUTE(Taal03!B7,"#",2),""),"")</f>
        <v>Het Algemeen Reglement (pagina 2)</v>
      </c>
      <c r="E3" s="976"/>
      <c r="F3" s="976"/>
      <c r="G3" s="976"/>
      <c r="H3" s="976"/>
      <c r="I3" s="976"/>
      <c r="J3" s="976"/>
      <c r="K3" s="976"/>
      <c r="L3" s="976"/>
      <c r="M3" s="984" t="str">
        <f ca="1">Reglement!M3</f>
        <v>EURO 2024: Jamilo EK-pool</v>
      </c>
      <c r="N3" s="978"/>
      <c r="O3" s="17"/>
      <c r="Q3" s="5"/>
      <c r="R3" s="5"/>
      <c r="S3" s="1033"/>
      <c r="T3" s="1033"/>
      <c r="U3" s="1033"/>
      <c r="V3" s="1033"/>
      <c r="W3" s="1033"/>
    </row>
    <row r="4" spans="1:23" ht="15" customHeight="1" x14ac:dyDescent="0.25">
      <c r="B4" s="17"/>
      <c r="C4" s="17"/>
      <c r="D4" s="17"/>
      <c r="E4" s="17"/>
      <c r="F4" s="17"/>
      <c r="G4" s="17"/>
      <c r="H4" s="17"/>
      <c r="I4" s="17"/>
      <c r="J4" s="17"/>
      <c r="K4" s="17"/>
      <c r="L4" s="17"/>
      <c r="M4" s="17"/>
      <c r="N4" s="17"/>
      <c r="O4" s="411"/>
      <c r="Q4" s="51"/>
      <c r="R4" s="51"/>
      <c r="S4" s="1033"/>
      <c r="T4" s="1033"/>
      <c r="U4" s="1033"/>
      <c r="V4" s="1033"/>
      <c r="W4" s="1033"/>
    </row>
    <row r="5" spans="1:23" ht="15" customHeight="1" x14ac:dyDescent="0.25">
      <c r="B5" s="17"/>
      <c r="C5" s="974"/>
      <c r="D5" s="988" t="str">
        <f ca="1">IF(P91=1,Taal03!B159,"")</f>
        <v>De Prijzenpot</v>
      </c>
      <c r="E5" s="976"/>
      <c r="F5" s="976"/>
      <c r="G5" s="976"/>
      <c r="H5" s="976"/>
      <c r="I5" s="976"/>
      <c r="J5" s="976"/>
      <c r="K5" s="976"/>
      <c r="L5" s="976"/>
      <c r="M5" s="976"/>
      <c r="N5" s="978"/>
      <c r="O5" s="411"/>
      <c r="Q5" s="22">
        <f>N91*P91</f>
        <v>1</v>
      </c>
      <c r="R5" s="375" t="s">
        <v>409</v>
      </c>
    </row>
    <row r="6" spans="1:23" ht="15" customHeight="1" x14ac:dyDescent="0.25">
      <c r="B6" s="17"/>
      <c r="C6" s="949"/>
      <c r="D6" s="17"/>
      <c r="E6" s="17"/>
      <c r="F6" s="17"/>
      <c r="G6" s="17"/>
      <c r="H6" s="17"/>
      <c r="I6" s="17"/>
      <c r="J6" s="17"/>
      <c r="K6" s="17"/>
      <c r="L6" s="17"/>
      <c r="M6" s="17"/>
      <c r="N6" s="60"/>
      <c r="O6" s="411"/>
      <c r="Q6" s="37"/>
      <c r="R6" s="37"/>
    </row>
    <row r="7" spans="1:23" ht="15" customHeight="1" x14ac:dyDescent="0.25">
      <c r="B7" s="17"/>
      <c r="C7" s="949"/>
      <c r="D7" s="372" t="str">
        <f ca="1">IF(Q7=1,IF(H98=0,Taal03!$B$164,SUBSTITUTE(IF(Prijzenpot!Q9="JA",Taal03!$B$162,Taal03!$B$160),"###",Q8)),"")</f>
        <v>Om deel te nemen aan deze pool bent u verplicht de vastgestelde inleg te betalen. De vastgestelde inleg</v>
      </c>
      <c r="E7" s="17"/>
      <c r="F7" s="362"/>
      <c r="G7" s="362"/>
      <c r="H7" s="362"/>
      <c r="I7" s="362"/>
      <c r="J7" s="362"/>
      <c r="K7" s="362"/>
      <c r="L7" s="362"/>
      <c r="M7" s="362"/>
      <c r="N7" s="60"/>
      <c r="O7" s="411"/>
      <c r="Q7" s="22">
        <f>IF($N$91=1,1,"")</f>
        <v>1</v>
      </c>
      <c r="R7" s="23" t="s">
        <v>405</v>
      </c>
    </row>
    <row r="8" spans="1:23" ht="15" customHeight="1" x14ac:dyDescent="0.25">
      <c r="B8" s="17"/>
      <c r="C8" s="949"/>
      <c r="D8" s="372" t="str">
        <f ca="1">IF(Q7=1,IF(H98=0,Taal03!$B$165,SUBSTITUTE(IF(Prijzenpot!Q9="JA",Taal03!$B$163,Taal03!$B$161),"###",Q8)),"")</f>
        <v>voor deze pool is € 5,00.</v>
      </c>
      <c r="E8" s="17"/>
      <c r="F8" s="362"/>
      <c r="G8" s="362"/>
      <c r="H8" s="362"/>
      <c r="I8" s="362"/>
      <c r="J8" s="362"/>
      <c r="K8" s="362"/>
      <c r="L8" s="362"/>
      <c r="M8" s="362"/>
      <c r="N8" s="60"/>
      <c r="O8" s="411"/>
      <c r="Q8" s="22" t="str">
        <f>IF($N$91=1,$M$98,"")</f>
        <v>€ 5,00</v>
      </c>
      <c r="R8" s="23" t="s">
        <v>62</v>
      </c>
    </row>
    <row r="9" spans="1:23" ht="15" customHeight="1" x14ac:dyDescent="0.25">
      <c r="B9" s="17"/>
      <c r="C9" s="949"/>
      <c r="D9" s="373"/>
      <c r="E9" s="362"/>
      <c r="F9" s="362"/>
      <c r="G9" s="362"/>
      <c r="H9" s="362"/>
      <c r="I9" s="362"/>
      <c r="J9" s="362"/>
      <c r="K9" s="362"/>
      <c r="L9" s="362"/>
      <c r="M9" s="362"/>
      <c r="N9" s="60"/>
      <c r="O9" s="411"/>
      <c r="Q9" s="377" t="str">
        <f>IF($N$91=1,C97,"")</f>
        <v>NEE</v>
      </c>
      <c r="R9" s="115" t="s">
        <v>793</v>
      </c>
    </row>
    <row r="10" spans="1:23" ht="15" customHeight="1" x14ac:dyDescent="0.25">
      <c r="A10" s="93" t="str">
        <f>IF($Q$5=0,"",IF(H98=0,"H",""))</f>
        <v/>
      </c>
      <c r="B10" s="17"/>
      <c r="C10" s="949"/>
      <c r="D10" s="372" t="str">
        <f ca="1">IF(Q7=1,IF(H98=0,"",IF(Q9="JA",Taal03!B168,Taal03!B166)),"")</f>
        <v>De inleg dient voor aanvang van het toernooi betaald te worden aan de organisator.</v>
      </c>
      <c r="E10" s="362"/>
      <c r="F10" s="362"/>
      <c r="G10" s="362"/>
      <c r="H10" s="362"/>
      <c r="I10" s="362"/>
      <c r="J10" s="362"/>
      <c r="K10" s="362"/>
      <c r="L10" s="362"/>
      <c r="M10" s="362"/>
      <c r="N10" s="60"/>
      <c r="O10" s="411"/>
      <c r="Q10" s="38"/>
      <c r="R10" s="49"/>
    </row>
    <row r="11" spans="1:23" ht="15" customHeight="1" x14ac:dyDescent="0.25">
      <c r="A11" s="93" t="str">
        <f>IF($Q$5=0,"",IF(H98=0,"H",""))</f>
        <v/>
      </c>
      <c r="B11" s="17"/>
      <c r="C11" s="949"/>
      <c r="D11" s="372" t="str">
        <f ca="1">IF(Q7=1,IF(H98=0,"",IF(Q9="JA",Taal03!B169,Taal03!B167)),"")</f>
        <v>Is dit niet op tijd gedaan dan zal uw deelname ongeldig worden verklaard.</v>
      </c>
      <c r="E11" s="362"/>
      <c r="F11" s="362"/>
      <c r="G11" s="362"/>
      <c r="H11" s="362"/>
      <c r="I11" s="362"/>
      <c r="J11" s="362"/>
      <c r="K11" s="362"/>
      <c r="L11" s="362"/>
      <c r="M11" s="362"/>
      <c r="N11" s="60"/>
      <c r="O11" s="411"/>
      <c r="Q11" s="38"/>
      <c r="R11" s="49"/>
    </row>
    <row r="12" spans="1:23" ht="15" customHeight="1" x14ac:dyDescent="0.25">
      <c r="A12" s="93" t="str">
        <f>IF($Q$5=0,"",IF(H98=0,"H",""))</f>
        <v/>
      </c>
      <c r="B12" s="17"/>
      <c r="C12" s="949"/>
      <c r="D12" s="373"/>
      <c r="E12" s="362"/>
      <c r="F12" s="362"/>
      <c r="G12" s="362"/>
      <c r="H12" s="362"/>
      <c r="I12" s="362"/>
      <c r="J12" s="362"/>
      <c r="K12" s="362"/>
      <c r="L12" s="362"/>
      <c r="M12" s="362"/>
      <c r="N12" s="60"/>
      <c r="O12" s="411"/>
      <c r="Q12" s="38"/>
      <c r="R12" s="49"/>
    </row>
    <row r="13" spans="1:23" ht="15" customHeight="1" x14ac:dyDescent="0.25">
      <c r="A13" s="93" t="str">
        <f>IF($Q$5=0,"",IF(H98=0,"H",""))</f>
        <v/>
      </c>
      <c r="B13" s="17"/>
      <c r="C13" s="949"/>
      <c r="D13" s="372" t="str">
        <f ca="1">IF(H98=0,"",IF(Q13="A",Taal03!$B$170,IF(Q13="B",Taal03!$B$171,IF(Q13="C",Taal03!$B$172,IF(Q13="D",Taal03!$B$173,IF(Q13="E",Taal03!$B$174,""))))))</f>
        <v>De inleg dient betaald te worden via een betaalverzoek welke de organisator u zal toesturen.</v>
      </c>
      <c r="E13" s="17"/>
      <c r="F13" s="362"/>
      <c r="G13" s="362"/>
      <c r="H13" s="362"/>
      <c r="I13" s="362"/>
      <c r="J13" s="362"/>
      <c r="K13" s="362"/>
      <c r="L13" s="362"/>
      <c r="M13" s="362"/>
      <c r="N13" s="60"/>
      <c r="O13" s="411"/>
      <c r="Q13" s="582" t="str">
        <f>IF($N$91=1,$Q$102,"")</f>
        <v>D</v>
      </c>
      <c r="R13" s="583" t="s">
        <v>401</v>
      </c>
    </row>
    <row r="14" spans="1:23" ht="15" hidden="1" customHeight="1" x14ac:dyDescent="0.25">
      <c r="A14" s="93" t="str">
        <f>IF($Q$5=0,"",IF(Q14="","H",""))</f>
        <v>H</v>
      </c>
      <c r="B14" s="17"/>
      <c r="C14" s="949"/>
      <c r="D14" s="374" t="str">
        <f>IF(OR(Q13="B",Q13="C"),"- "&amp;Taal03!$B$175,"")</f>
        <v/>
      </c>
      <c r="E14" s="17"/>
      <c r="F14" s="347"/>
      <c r="G14" s="27" t="str">
        <f>IF(OR(Q13="B",Q13="C"),": "&amp;Q14,"")</f>
        <v/>
      </c>
      <c r="H14" s="362"/>
      <c r="I14" s="362"/>
      <c r="J14" s="362"/>
      <c r="K14" s="362"/>
      <c r="L14" s="362"/>
      <c r="M14" s="362"/>
      <c r="N14" s="60"/>
      <c r="O14" s="411"/>
      <c r="Q14" s="38" t="str">
        <f>IF(AND($N$91=1,OR(Q13="B",Q13="C")),SUBSTITUTE($Q$104,"*#"," "),"")</f>
        <v/>
      </c>
      <c r="R14" s="49" t="s">
        <v>402</v>
      </c>
    </row>
    <row r="15" spans="1:23" ht="15" hidden="1" customHeight="1" x14ac:dyDescent="0.25">
      <c r="A15" s="93" t="str">
        <f>IF($Q$5=0,"",IF(Q15="","H",""))</f>
        <v>H</v>
      </c>
      <c r="B15" s="17"/>
      <c r="C15" s="949"/>
      <c r="D15" s="374" t="str">
        <f>IF(OR(Q13="B",Q13="C"),"- "&amp;Taal03!$B$176,"")</f>
        <v/>
      </c>
      <c r="E15" s="17"/>
      <c r="F15" s="362"/>
      <c r="G15" s="27" t="str">
        <f>IF(OR(Q13="B",Q13="C"),": "&amp;Q15,"")</f>
        <v/>
      </c>
      <c r="H15" s="362"/>
      <c r="I15" s="362"/>
      <c r="J15" s="362"/>
      <c r="K15" s="362"/>
      <c r="L15" s="362"/>
      <c r="M15" s="362"/>
      <c r="N15" s="60"/>
      <c r="O15" s="411"/>
      <c r="Q15" s="38" t="str">
        <f>IF(AND($N$91=1,OR(Q13="B",Q13="C")),SUBSTITUTE($Q$105,"*#"," "),"")</f>
        <v/>
      </c>
      <c r="R15" s="49" t="s">
        <v>403</v>
      </c>
    </row>
    <row r="16" spans="1:23" ht="15" hidden="1" customHeight="1" x14ac:dyDescent="0.25">
      <c r="A16" s="93" t="str">
        <f>IF($Q$5=0,"",IF(Q16="","H",""))</f>
        <v>H</v>
      </c>
      <c r="B16" s="17"/>
      <c r="C16" s="949"/>
      <c r="D16" s="374" t="str">
        <f>IF(OR(Q13="B",Q13="C"),"- "&amp;Taal03!$B$177,"")</f>
        <v/>
      </c>
      <c r="E16" s="17"/>
      <c r="F16" s="362"/>
      <c r="G16" s="27" t="str">
        <f>IF(OR(Q13="B",Q13="C"),": "&amp;Q16,"")</f>
        <v/>
      </c>
      <c r="H16" s="362"/>
      <c r="I16" s="362"/>
      <c r="J16" s="362"/>
      <c r="K16" s="362"/>
      <c r="L16" s="362"/>
      <c r="M16" s="362"/>
      <c r="N16" s="60"/>
      <c r="O16" s="411"/>
      <c r="Q16" s="38" t="str">
        <f>IF(AND($N$91=1,OR(Q13="B",Q13="C")),SUBSTITUTE($Q$106,"*#"," "),"")</f>
        <v/>
      </c>
      <c r="R16" s="49" t="s">
        <v>404</v>
      </c>
    </row>
    <row r="17" spans="1:18" ht="15" customHeight="1" x14ac:dyDescent="0.25">
      <c r="A17" s="93" t="str">
        <f>IF($Q$5=0,"",IF(H98=0,"H",""))</f>
        <v/>
      </c>
      <c r="B17" s="17"/>
      <c r="C17" s="949"/>
      <c r="D17" s="373"/>
      <c r="E17" s="362"/>
      <c r="F17" s="362"/>
      <c r="G17" s="362"/>
      <c r="H17" s="362"/>
      <c r="I17" s="362"/>
      <c r="J17" s="362"/>
      <c r="K17" s="362"/>
      <c r="L17" s="362"/>
      <c r="M17" s="362"/>
      <c r="N17" s="60"/>
      <c r="O17" s="411"/>
      <c r="Q17" s="581"/>
      <c r="R17" s="581"/>
    </row>
    <row r="18" spans="1:18" ht="15" hidden="1" customHeight="1" x14ac:dyDescent="0.25">
      <c r="A18" s="93" t="str">
        <f>IF($Q$5=0,"",IF(Q18="","H",""))</f>
        <v>H</v>
      </c>
      <c r="B18" s="17"/>
      <c r="C18" s="949"/>
      <c r="D18" s="346" t="str">
        <f>IF(OR(Q18="A",Q18="B",Q18="C"),SUBSTITUTE(SUBSTITUTE(IF(Q18="A",Taal03!$B$178,IF(Q18="B",Taal03!$B$179,Taal03!$B$180)),"###",Q108),"$$$",SUBSTITUTE(Q107,"*#"," ")),"")</f>
        <v/>
      </c>
      <c r="E18" s="17"/>
      <c r="F18" s="362"/>
      <c r="G18" s="362"/>
      <c r="H18" s="362"/>
      <c r="I18" s="362"/>
      <c r="J18" s="362"/>
      <c r="K18" s="362"/>
      <c r="L18" s="362"/>
      <c r="M18" s="362"/>
      <c r="N18" s="60"/>
      <c r="O18" s="411"/>
      <c r="Q18" s="38" t="str">
        <f>IF($N$91=1,IF($Q$103="D","",$Q$103),"")</f>
        <v/>
      </c>
      <c r="R18" s="49" t="s">
        <v>1175</v>
      </c>
    </row>
    <row r="19" spans="1:18" ht="15" hidden="1" customHeight="1" x14ac:dyDescent="0.25">
      <c r="A19" s="93" t="str">
        <f>IF($Q$5=0,"",IF(Q19="","H",""))</f>
        <v>H</v>
      </c>
      <c r="B19" s="17"/>
      <c r="C19" s="949"/>
      <c r="D19" s="373"/>
      <c r="E19" s="347"/>
      <c r="F19" s="362"/>
      <c r="G19" s="362"/>
      <c r="H19" s="362"/>
      <c r="I19" s="362"/>
      <c r="J19" s="362"/>
      <c r="K19" s="362"/>
      <c r="L19" s="362"/>
      <c r="M19" s="362"/>
      <c r="N19" s="60"/>
      <c r="O19" s="411"/>
      <c r="Q19" s="378" t="str">
        <f>IF(Q18="B","-","")</f>
        <v/>
      </c>
      <c r="R19" s="376"/>
    </row>
    <row r="20" spans="1:18" ht="15" customHeight="1" x14ac:dyDescent="0.25">
      <c r="B20" s="17"/>
      <c r="C20" s="949"/>
      <c r="D20" s="372" t="str">
        <f ca="1">IF(Q7=1,Taal03!$B$182,"")</f>
        <v>Indien meerdere spelers op dezelfde positie staan en recht hebben op prijzengeld zal de totale som</v>
      </c>
      <c r="E20" s="17"/>
      <c r="F20" s="347"/>
      <c r="G20" s="347"/>
      <c r="H20" s="347"/>
      <c r="I20" s="362"/>
      <c r="J20" s="362"/>
      <c r="K20" s="362"/>
      <c r="L20" s="362"/>
      <c r="M20" s="362"/>
      <c r="N20" s="60"/>
      <c r="O20" s="411"/>
      <c r="Q20" s="22">
        <f>IF($N$91=1,IF($G$95="E",1,2),"")</f>
        <v>2</v>
      </c>
      <c r="R20" s="23" t="s">
        <v>63</v>
      </c>
    </row>
    <row r="21" spans="1:18" ht="15" customHeight="1" x14ac:dyDescent="0.25">
      <c r="B21" s="17"/>
      <c r="C21" s="949"/>
      <c r="D21" s="372" t="str">
        <f ca="1">IF(Q7=1,Taal03!$B$183,"")</f>
        <v>van het prijzengeld voor de gedeelde plekken verdeeld worden onder de rechthebbenden.</v>
      </c>
      <c r="E21" s="17"/>
      <c r="F21" s="362"/>
      <c r="G21" s="362"/>
      <c r="H21" s="362"/>
      <c r="I21" s="362"/>
      <c r="J21" s="362"/>
      <c r="K21" s="362"/>
      <c r="L21" s="362"/>
      <c r="M21" s="362"/>
      <c r="N21" s="60"/>
      <c r="O21" s="411"/>
      <c r="Q21" s="37"/>
      <c r="R21" s="37"/>
    </row>
    <row r="22" spans="1:18" ht="15" customHeight="1" x14ac:dyDescent="0.25">
      <c r="B22" s="17"/>
      <c r="C22" s="949"/>
      <c r="D22" s="362"/>
      <c r="E22" s="362"/>
      <c r="F22" s="362"/>
      <c r="G22" s="362"/>
      <c r="H22" s="362"/>
      <c r="I22" s="362"/>
      <c r="J22" s="362"/>
      <c r="K22" s="362"/>
      <c r="L22" s="362"/>
      <c r="M22" s="362"/>
      <c r="N22" s="60"/>
      <c r="O22" s="411"/>
      <c r="Q22" s="114"/>
      <c r="R22" s="114"/>
    </row>
    <row r="23" spans="1:18" ht="15" customHeight="1" x14ac:dyDescent="0.25">
      <c r="A23" s="93" t="str">
        <f t="shared" ref="A23:A39" si="0">IF($Q$5=0,"",IF(Q23="","H",""))</f>
        <v/>
      </c>
      <c r="B23" s="17"/>
      <c r="C23" s="949"/>
      <c r="D23" s="372" t="str">
        <f ca="1">IF(AND(Q7=1,Q33="-"),Taal03!$B$184,"")</f>
        <v>De verdeling van het prijzengeld gebeurt als volgt:</v>
      </c>
      <c r="E23" s="362"/>
      <c r="F23" s="362"/>
      <c r="G23" s="362"/>
      <c r="H23" s="362"/>
      <c r="I23" s="362"/>
      <c r="J23" s="24" t="str">
        <f ca="1">IF(Q23=1,Taal03!$B$185,"")</f>
        <v>Nr.</v>
      </c>
      <c r="K23" s="25" t="str">
        <f>IF(Q23=1,"1 :","")</f>
        <v>1 :</v>
      </c>
      <c r="L23" s="26" t="str">
        <f t="shared" ref="L23:L32" ca="1" si="1">IF(Q23=1,IF($Q$20=1,M99,L99),"")</f>
        <v>50% van de prijzenpot</v>
      </c>
      <c r="M23" s="362"/>
      <c r="N23" s="60"/>
      <c r="O23" s="411"/>
      <c r="Q23" s="38">
        <f t="shared" ref="Q23:Q32" si="2">IF($N$91=0,"",IF(H99=0,"",1))</f>
        <v>1</v>
      </c>
      <c r="R23" s="49" t="s">
        <v>406</v>
      </c>
    </row>
    <row r="24" spans="1:18" ht="15" customHeight="1" x14ac:dyDescent="0.25">
      <c r="A24" s="93" t="str">
        <f t="shared" si="0"/>
        <v/>
      </c>
      <c r="B24" s="17"/>
      <c r="C24" s="949"/>
      <c r="D24" s="362"/>
      <c r="E24" s="362"/>
      <c r="F24" s="362"/>
      <c r="G24" s="362"/>
      <c r="H24" s="362"/>
      <c r="I24" s="362"/>
      <c r="J24" s="24" t="str">
        <f ca="1">IF(Q24=1,Taal03!$B$185,"")</f>
        <v>Nr.</v>
      </c>
      <c r="K24" s="25" t="str">
        <f>IF(Q24=1,"2 :","")</f>
        <v>2 :</v>
      </c>
      <c r="L24" s="26" t="str">
        <f t="shared" ca="1" si="1"/>
        <v>30% van de prijzenpot</v>
      </c>
      <c r="M24" s="362"/>
      <c r="N24" s="60"/>
      <c r="O24" s="411"/>
      <c r="Q24" s="38">
        <f t="shared" si="2"/>
        <v>1</v>
      </c>
      <c r="R24" s="49" t="s">
        <v>406</v>
      </c>
    </row>
    <row r="25" spans="1:18" ht="15" customHeight="1" x14ac:dyDescent="0.25">
      <c r="A25" s="93" t="str">
        <f t="shared" si="0"/>
        <v/>
      </c>
      <c r="B25" s="17"/>
      <c r="C25" s="949"/>
      <c r="D25" s="362"/>
      <c r="E25" s="362"/>
      <c r="F25" s="362"/>
      <c r="G25" s="362"/>
      <c r="H25" s="362"/>
      <c r="I25" s="362"/>
      <c r="J25" s="24" t="str">
        <f ca="1">IF(Q25=1,Taal03!$B$185,"")</f>
        <v>Nr.</v>
      </c>
      <c r="K25" s="25" t="str">
        <f>IF(Q25=1,"3 :","")</f>
        <v>3 :</v>
      </c>
      <c r="L25" s="26" t="str">
        <f t="shared" ca="1" si="1"/>
        <v>20% van de prijzenpot</v>
      </c>
      <c r="M25" s="362"/>
      <c r="N25" s="60"/>
      <c r="O25" s="411"/>
      <c r="Q25" s="38">
        <f t="shared" si="2"/>
        <v>1</v>
      </c>
      <c r="R25" s="49" t="s">
        <v>406</v>
      </c>
    </row>
    <row r="26" spans="1:18" ht="15" hidden="1" customHeight="1" x14ac:dyDescent="0.25">
      <c r="A26" s="93" t="str">
        <f t="shared" si="0"/>
        <v>H</v>
      </c>
      <c r="B26" s="17"/>
      <c r="C26" s="949"/>
      <c r="D26" s="362"/>
      <c r="E26" s="362"/>
      <c r="F26" s="362"/>
      <c r="G26" s="362"/>
      <c r="H26" s="362"/>
      <c r="I26" s="362"/>
      <c r="J26" s="24" t="str">
        <f>IF(Q26=1,Taal03!$B$185,"")</f>
        <v/>
      </c>
      <c r="K26" s="25" t="str">
        <f>IF(Q26=1,"4 :","")</f>
        <v/>
      </c>
      <c r="L26" s="26" t="str">
        <f t="shared" si="1"/>
        <v/>
      </c>
      <c r="M26" s="362"/>
      <c r="N26" s="60"/>
      <c r="O26" s="411"/>
      <c r="Q26" s="38" t="str">
        <f t="shared" si="2"/>
        <v/>
      </c>
      <c r="R26" s="49" t="s">
        <v>406</v>
      </c>
    </row>
    <row r="27" spans="1:18" ht="15" hidden="1" customHeight="1" x14ac:dyDescent="0.25">
      <c r="A27" s="93" t="str">
        <f t="shared" si="0"/>
        <v>H</v>
      </c>
      <c r="B27" s="17"/>
      <c r="C27" s="949"/>
      <c r="D27" s="362"/>
      <c r="E27" s="362"/>
      <c r="F27" s="362"/>
      <c r="G27" s="362"/>
      <c r="H27" s="362"/>
      <c r="I27" s="362"/>
      <c r="J27" s="24" t="str">
        <f>IF(Q27=1,Taal03!$B$185,"")</f>
        <v/>
      </c>
      <c r="K27" s="25" t="str">
        <f>IF(Q27=1,"5 :","")</f>
        <v/>
      </c>
      <c r="L27" s="26" t="str">
        <f t="shared" si="1"/>
        <v/>
      </c>
      <c r="M27" s="362"/>
      <c r="N27" s="60"/>
      <c r="O27" s="411"/>
      <c r="Q27" s="38" t="str">
        <f t="shared" si="2"/>
        <v/>
      </c>
      <c r="R27" s="49" t="s">
        <v>406</v>
      </c>
    </row>
    <row r="28" spans="1:18" ht="15" hidden="1" customHeight="1" x14ac:dyDescent="0.25">
      <c r="A28" s="93" t="str">
        <f t="shared" si="0"/>
        <v>H</v>
      </c>
      <c r="B28" s="17"/>
      <c r="C28" s="949"/>
      <c r="D28" s="362"/>
      <c r="E28" s="362"/>
      <c r="F28" s="362"/>
      <c r="G28" s="362"/>
      <c r="H28" s="362"/>
      <c r="I28" s="362"/>
      <c r="J28" s="24" t="str">
        <f>IF(Q28=1,Taal03!$B$185,"")</f>
        <v/>
      </c>
      <c r="K28" s="25" t="str">
        <f>IF(Q28=1,"6 :","")</f>
        <v/>
      </c>
      <c r="L28" s="26" t="str">
        <f t="shared" si="1"/>
        <v/>
      </c>
      <c r="M28" s="362"/>
      <c r="N28" s="60"/>
      <c r="O28" s="411"/>
      <c r="Q28" s="38" t="str">
        <f t="shared" si="2"/>
        <v/>
      </c>
      <c r="R28" s="49" t="s">
        <v>406</v>
      </c>
    </row>
    <row r="29" spans="1:18" ht="15" hidden="1" customHeight="1" x14ac:dyDescent="0.25">
      <c r="A29" s="93" t="str">
        <f t="shared" si="0"/>
        <v>H</v>
      </c>
      <c r="B29" s="17"/>
      <c r="C29" s="949"/>
      <c r="D29" s="362"/>
      <c r="E29" s="362"/>
      <c r="F29" s="362"/>
      <c r="G29" s="362"/>
      <c r="H29" s="362"/>
      <c r="I29" s="362"/>
      <c r="J29" s="24" t="str">
        <f>IF(Q29=1,Taal03!$B$185,"")</f>
        <v/>
      </c>
      <c r="K29" s="25" t="str">
        <f>IF(Q29=1,"7 :","")</f>
        <v/>
      </c>
      <c r="L29" s="26" t="str">
        <f t="shared" si="1"/>
        <v/>
      </c>
      <c r="M29" s="362"/>
      <c r="N29" s="60"/>
      <c r="O29" s="411"/>
      <c r="Q29" s="38" t="str">
        <f t="shared" si="2"/>
        <v/>
      </c>
      <c r="R29" s="49" t="s">
        <v>406</v>
      </c>
    </row>
    <row r="30" spans="1:18" ht="15" hidden="1" customHeight="1" x14ac:dyDescent="0.25">
      <c r="A30" s="93" t="str">
        <f t="shared" si="0"/>
        <v>H</v>
      </c>
      <c r="B30" s="17"/>
      <c r="C30" s="949"/>
      <c r="D30" s="362"/>
      <c r="E30" s="362"/>
      <c r="F30" s="362"/>
      <c r="G30" s="362"/>
      <c r="H30" s="362"/>
      <c r="I30" s="362"/>
      <c r="J30" s="24" t="str">
        <f>IF(Q30=1,Taal03!$B$185,"")</f>
        <v/>
      </c>
      <c r="K30" s="25" t="str">
        <f>IF(Q30=1,"8 :","")</f>
        <v/>
      </c>
      <c r="L30" s="26" t="str">
        <f t="shared" si="1"/>
        <v/>
      </c>
      <c r="M30" s="362"/>
      <c r="N30" s="60"/>
      <c r="O30" s="411"/>
      <c r="Q30" s="38" t="str">
        <f t="shared" si="2"/>
        <v/>
      </c>
      <c r="R30" s="49" t="s">
        <v>406</v>
      </c>
    </row>
    <row r="31" spans="1:18" ht="15" hidden="1" customHeight="1" x14ac:dyDescent="0.25">
      <c r="A31" s="93" t="str">
        <f t="shared" si="0"/>
        <v>H</v>
      </c>
      <c r="B31" s="17"/>
      <c r="C31" s="949"/>
      <c r="D31" s="362"/>
      <c r="E31" s="362"/>
      <c r="F31" s="362"/>
      <c r="G31" s="362"/>
      <c r="H31" s="362"/>
      <c r="I31" s="362"/>
      <c r="J31" s="24" t="str">
        <f>IF(Q31=1,Taal03!$B$185,"")</f>
        <v/>
      </c>
      <c r="K31" s="25" t="str">
        <f>IF(Q31=1,"9 :","")</f>
        <v/>
      </c>
      <c r="L31" s="26" t="str">
        <f t="shared" si="1"/>
        <v/>
      </c>
      <c r="M31" s="362"/>
      <c r="N31" s="60"/>
      <c r="O31" s="411"/>
      <c r="Q31" s="38" t="str">
        <f t="shared" si="2"/>
        <v/>
      </c>
      <c r="R31" s="49" t="s">
        <v>406</v>
      </c>
    </row>
    <row r="32" spans="1:18" ht="15" hidden="1" customHeight="1" x14ac:dyDescent="0.25">
      <c r="A32" s="93" t="str">
        <f t="shared" si="0"/>
        <v>H</v>
      </c>
      <c r="B32" s="17"/>
      <c r="C32" s="949"/>
      <c r="D32" s="362"/>
      <c r="E32" s="362"/>
      <c r="F32" s="362"/>
      <c r="G32" s="362"/>
      <c r="H32" s="362"/>
      <c r="I32" s="362"/>
      <c r="J32" s="24" t="str">
        <f>IF(Q32=1,Taal03!$B$185,"")</f>
        <v/>
      </c>
      <c r="K32" s="25" t="str">
        <f>IF(Q32=1,"10 :","")</f>
        <v/>
      </c>
      <c r="L32" s="26" t="str">
        <f t="shared" si="1"/>
        <v/>
      </c>
      <c r="M32" s="362"/>
      <c r="N32" s="60"/>
      <c r="O32" s="411"/>
      <c r="Q32" s="38" t="str">
        <f t="shared" si="2"/>
        <v/>
      </c>
      <c r="R32" s="49" t="s">
        <v>406</v>
      </c>
    </row>
    <row r="33" spans="1:18" ht="15" customHeight="1" x14ac:dyDescent="0.25">
      <c r="A33" s="93" t="str">
        <f>IF($Q$5=0,"",IF(Q33="","H",""))</f>
        <v/>
      </c>
      <c r="B33" s="17"/>
      <c r="C33" s="949"/>
      <c r="D33" s="362"/>
      <c r="E33" s="362"/>
      <c r="F33" s="362"/>
      <c r="G33" s="362"/>
      <c r="H33" s="362"/>
      <c r="I33" s="362"/>
      <c r="J33" s="362"/>
      <c r="K33" s="362"/>
      <c r="L33" s="362"/>
      <c r="M33" s="362"/>
      <c r="N33" s="60"/>
      <c r="O33" s="411"/>
      <c r="Q33" s="378" t="str">
        <f>IF(COUNTBLANK(Q23:Q32)=10,"","-")</f>
        <v>-</v>
      </c>
      <c r="R33" s="376"/>
    </row>
    <row r="34" spans="1:18" ht="15" hidden="1" customHeight="1" x14ac:dyDescent="0.25">
      <c r="A34" s="93" t="str">
        <f t="shared" si="0"/>
        <v>H</v>
      </c>
      <c r="B34" s="17"/>
      <c r="C34" s="949"/>
      <c r="D34" s="372" t="str">
        <f>IF(Q7=1,IF(Q34="X",Taal03!$B$187,IF(TYPE(Q34)=1,SUBSTITUTE(SUBSTITUTE(IF(Q34=1,Taal03!$B$188,IF(Q34=2,Taal03!$B$189,Taal03!$B$190)),"###",SUM(Q23:Q32)+1),"$$$",SUM(Q23:Q32)+Q34),"")),"")</f>
        <v/>
      </c>
      <c r="E34" s="372"/>
      <c r="F34" s="362"/>
      <c r="G34" s="362"/>
      <c r="H34" s="362"/>
      <c r="I34" s="362"/>
      <c r="J34" s="362"/>
      <c r="K34" s="362"/>
      <c r="L34" s="362"/>
      <c r="M34" s="362"/>
      <c r="N34" s="60"/>
      <c r="O34" s="411"/>
      <c r="Q34" s="38" t="str">
        <f>IF($N$91=1,H96,"")</f>
        <v/>
      </c>
      <c r="R34" s="49" t="s">
        <v>407</v>
      </c>
    </row>
    <row r="35" spans="1:18" ht="15" hidden="1" customHeight="1" x14ac:dyDescent="0.25">
      <c r="A35" s="93" t="str">
        <f t="shared" si="0"/>
        <v>H</v>
      </c>
      <c r="B35" s="17"/>
      <c r="C35" s="949"/>
      <c r="D35" s="362"/>
      <c r="E35" s="362"/>
      <c r="F35" s="362"/>
      <c r="G35" s="362"/>
      <c r="H35" s="362"/>
      <c r="I35" s="362"/>
      <c r="J35" s="362"/>
      <c r="K35" s="362"/>
      <c r="L35" s="362"/>
      <c r="M35" s="362"/>
      <c r="N35" s="60"/>
      <c r="O35" s="411"/>
      <c r="Q35" s="378" t="str">
        <f>IF(Q34="","","-")</f>
        <v/>
      </c>
      <c r="R35" s="376"/>
    </row>
    <row r="36" spans="1:18" ht="15" hidden="1" customHeight="1" x14ac:dyDescent="0.25">
      <c r="A36" s="93" t="str">
        <f t="shared" si="0"/>
        <v>H</v>
      </c>
      <c r="B36" s="17"/>
      <c r="C36" s="949"/>
      <c r="D36" s="372" t="str">
        <f>IF(Q7=1,IF(Q36="X",Taal03!B191,IF(TYPE(Q36)=1,IF(Q36=1,Taal03!$B$192,SUBSTITUTE(Taal03!$B$193,"###",Q36)),"")),"")</f>
        <v/>
      </c>
      <c r="E36" s="362"/>
      <c r="F36" s="362"/>
      <c r="G36" s="362"/>
      <c r="H36" s="362"/>
      <c r="I36" s="362"/>
      <c r="J36" s="362"/>
      <c r="K36" s="362"/>
      <c r="L36" s="362"/>
      <c r="M36" s="362"/>
      <c r="N36" s="60"/>
      <c r="O36" s="411"/>
      <c r="Q36" s="38" t="str">
        <f>IF($N$91=1,H97,"")</f>
        <v/>
      </c>
      <c r="R36" s="49" t="s">
        <v>408</v>
      </c>
    </row>
    <row r="37" spans="1:18" ht="15" hidden="1" customHeight="1" x14ac:dyDescent="0.25">
      <c r="A37" s="93" t="str">
        <f t="shared" si="0"/>
        <v>H</v>
      </c>
      <c r="B37" s="17"/>
      <c r="C37" s="949"/>
      <c r="D37" s="362"/>
      <c r="E37" s="362"/>
      <c r="F37" s="362"/>
      <c r="G37" s="362"/>
      <c r="H37" s="362"/>
      <c r="I37" s="362"/>
      <c r="J37" s="362"/>
      <c r="K37" s="362"/>
      <c r="L37" s="362"/>
      <c r="M37" s="362"/>
      <c r="N37" s="60"/>
      <c r="O37" s="411"/>
      <c r="Q37" s="378" t="str">
        <f>IF(Q36="","","-")</f>
        <v/>
      </c>
      <c r="R37" s="376"/>
    </row>
    <row r="38" spans="1:18" ht="15" hidden="1" customHeight="1" x14ac:dyDescent="0.25">
      <c r="A38" s="93" t="str">
        <f t="shared" si="0"/>
        <v>H</v>
      </c>
      <c r="B38" s="17"/>
      <c r="C38" s="949"/>
      <c r="D38" s="572" t="str">
        <f>IF(E38="","","¹:")</f>
        <v/>
      </c>
      <c r="E38" s="573" t="str">
        <f>IF(AND(Q7=1,Q9="JA"),Taal03!$B$194,"")</f>
        <v/>
      </c>
      <c r="F38" s="362"/>
      <c r="G38" s="362"/>
      <c r="H38" s="362"/>
      <c r="I38" s="362"/>
      <c r="J38" s="362"/>
      <c r="K38" s="362"/>
      <c r="L38" s="362"/>
      <c r="M38" s="362"/>
      <c r="N38" s="60"/>
      <c r="O38" s="411"/>
      <c r="Q38" s="38" t="str">
        <f>IF(Q9="JA","JA","")</f>
        <v/>
      </c>
      <c r="R38" s="49" t="s">
        <v>795</v>
      </c>
    </row>
    <row r="39" spans="1:18" ht="15" hidden="1" customHeight="1" x14ac:dyDescent="0.25">
      <c r="A39" s="93" t="str">
        <f t="shared" si="0"/>
        <v>H</v>
      </c>
      <c r="B39" s="17"/>
      <c r="C39" s="949"/>
      <c r="D39" s="362"/>
      <c r="E39" s="573" t="str">
        <f>IF(AND(Q7=1,Q9="JA"),Taal03!$B$195,"")</f>
        <v/>
      </c>
      <c r="F39" s="362"/>
      <c r="G39" s="362"/>
      <c r="H39" s="362"/>
      <c r="I39" s="362"/>
      <c r="J39" s="362"/>
      <c r="K39" s="362"/>
      <c r="L39" s="362"/>
      <c r="M39" s="362"/>
      <c r="N39" s="60"/>
      <c r="O39" s="411"/>
      <c r="Q39" s="378" t="str">
        <f>IF(Q38="","","-")</f>
        <v/>
      </c>
      <c r="R39" s="376"/>
    </row>
    <row r="40" spans="1:18" ht="15" customHeight="1" x14ac:dyDescent="0.25">
      <c r="B40" s="17"/>
      <c r="C40" s="949"/>
      <c r="D40" s="362"/>
      <c r="E40" s="362"/>
      <c r="F40" s="362"/>
      <c r="G40" s="362"/>
      <c r="H40" s="362"/>
      <c r="I40" s="362"/>
      <c r="J40" s="362"/>
      <c r="K40" s="362"/>
      <c r="L40" s="362"/>
      <c r="M40" s="362"/>
      <c r="N40" s="60"/>
      <c r="O40" s="411"/>
      <c r="Q40" s="1109" t="s">
        <v>799</v>
      </c>
      <c r="R40" s="1109"/>
    </row>
    <row r="41" spans="1:18" ht="15" customHeight="1" x14ac:dyDescent="0.25">
      <c r="B41" s="17"/>
      <c r="C41" s="949"/>
      <c r="D41" s="362"/>
      <c r="E41" s="362"/>
      <c r="F41" s="362"/>
      <c r="G41" s="362"/>
      <c r="H41" s="362"/>
      <c r="I41" s="362"/>
      <c r="J41" s="362"/>
      <c r="K41" s="362"/>
      <c r="L41" s="362"/>
      <c r="M41" s="362"/>
      <c r="N41" s="60"/>
      <c r="O41" s="411"/>
      <c r="Q41" s="1109"/>
      <c r="R41" s="1109"/>
    </row>
    <row r="42" spans="1:18" ht="15" customHeight="1" x14ac:dyDescent="0.25">
      <c r="B42" s="17"/>
      <c r="C42" s="949"/>
      <c r="D42" s="362"/>
      <c r="E42" s="362"/>
      <c r="F42" s="362"/>
      <c r="G42" s="362"/>
      <c r="H42" s="362"/>
      <c r="I42" s="362"/>
      <c r="J42" s="362"/>
      <c r="K42" s="362"/>
      <c r="L42" s="362"/>
      <c r="M42" s="362"/>
      <c r="N42" s="60"/>
      <c r="O42" s="411"/>
      <c r="Q42" s="1109"/>
      <c r="R42" s="1109"/>
    </row>
    <row r="43" spans="1:18" ht="15" customHeight="1" x14ac:dyDescent="0.25">
      <c r="B43" s="17"/>
      <c r="C43" s="949"/>
      <c r="D43" s="362"/>
      <c r="E43" s="362"/>
      <c r="F43" s="362"/>
      <c r="G43" s="362"/>
      <c r="H43" s="362"/>
      <c r="I43" s="362"/>
      <c r="J43" s="362"/>
      <c r="K43" s="362"/>
      <c r="L43" s="362"/>
      <c r="M43" s="362"/>
      <c r="N43" s="60"/>
      <c r="O43" s="411"/>
      <c r="Q43" s="1109"/>
      <c r="R43" s="1109"/>
    </row>
    <row r="44" spans="1:18" ht="15" customHeight="1" x14ac:dyDescent="0.25">
      <c r="B44" s="17"/>
      <c r="C44" s="949"/>
      <c r="D44" s="362"/>
      <c r="E44" s="362"/>
      <c r="F44" s="362"/>
      <c r="G44" s="362"/>
      <c r="H44" s="362"/>
      <c r="I44" s="362"/>
      <c r="J44" s="362"/>
      <c r="K44" s="362"/>
      <c r="L44" s="362"/>
      <c r="M44" s="362"/>
      <c r="N44" s="60"/>
      <c r="O44" s="411"/>
      <c r="Q44" s="1109"/>
      <c r="R44" s="1109"/>
    </row>
    <row r="45" spans="1:18" ht="15" customHeight="1" x14ac:dyDescent="0.25">
      <c r="B45" s="17"/>
      <c r="C45" s="949"/>
      <c r="D45" s="362"/>
      <c r="E45" s="362"/>
      <c r="F45" s="362"/>
      <c r="G45" s="362"/>
      <c r="H45" s="362"/>
      <c r="I45" s="362"/>
      <c r="J45" s="362"/>
      <c r="K45" s="362"/>
      <c r="L45" s="362"/>
      <c r="M45" s="362"/>
      <c r="N45" s="60"/>
      <c r="O45" s="411"/>
      <c r="Q45" s="5"/>
      <c r="R45" s="5"/>
    </row>
    <row r="46" spans="1:18" ht="15" customHeight="1" x14ac:dyDescent="0.25">
      <c r="B46" s="17"/>
      <c r="C46" s="949"/>
      <c r="D46" s="362"/>
      <c r="E46" s="362"/>
      <c r="F46" s="362"/>
      <c r="G46" s="362"/>
      <c r="H46" s="362"/>
      <c r="I46" s="362"/>
      <c r="J46" s="362"/>
      <c r="K46" s="362"/>
      <c r="L46" s="362"/>
      <c r="M46" s="362"/>
      <c r="N46" s="60"/>
      <c r="O46" s="411"/>
      <c r="Q46" s="5"/>
      <c r="R46" s="5"/>
    </row>
    <row r="47" spans="1:18" ht="15" customHeight="1" x14ac:dyDescent="0.25">
      <c r="B47" s="17"/>
      <c r="C47" s="949"/>
      <c r="D47" s="362"/>
      <c r="E47" s="362"/>
      <c r="F47" s="362"/>
      <c r="G47" s="362"/>
      <c r="H47" s="362"/>
      <c r="I47" s="362"/>
      <c r="J47" s="362"/>
      <c r="K47" s="362"/>
      <c r="L47" s="362"/>
      <c r="M47" s="362"/>
      <c r="N47" s="60"/>
      <c r="O47" s="411"/>
      <c r="Q47" s="5"/>
      <c r="R47" s="5"/>
    </row>
    <row r="48" spans="1:18" ht="15" customHeight="1" x14ac:dyDescent="0.25">
      <c r="B48" s="17"/>
      <c r="C48" s="949"/>
      <c r="D48" s="362"/>
      <c r="E48" s="362"/>
      <c r="F48" s="362"/>
      <c r="G48" s="362"/>
      <c r="H48" s="362"/>
      <c r="I48" s="362"/>
      <c r="J48" s="362"/>
      <c r="K48" s="362"/>
      <c r="L48" s="362"/>
      <c r="M48" s="362"/>
      <c r="N48" s="60"/>
      <c r="O48" s="411"/>
      <c r="Q48" s="5"/>
      <c r="R48" s="5"/>
    </row>
    <row r="49" spans="1:18" ht="15" customHeight="1" x14ac:dyDescent="0.25">
      <c r="B49" s="17"/>
      <c r="C49" s="949"/>
      <c r="D49" s="362"/>
      <c r="E49" s="362"/>
      <c r="F49" s="362"/>
      <c r="G49" s="362"/>
      <c r="H49" s="362"/>
      <c r="I49" s="362"/>
      <c r="J49" s="362"/>
      <c r="K49" s="362"/>
      <c r="L49" s="362"/>
      <c r="M49" s="362"/>
      <c r="N49" s="60"/>
      <c r="O49" s="411"/>
      <c r="Q49" s="5"/>
      <c r="R49" s="5"/>
    </row>
    <row r="50" spans="1:18" ht="15" customHeight="1" x14ac:dyDescent="0.25">
      <c r="B50" s="17"/>
      <c r="C50" s="949"/>
      <c r="D50" s="362"/>
      <c r="E50" s="362"/>
      <c r="F50" s="362"/>
      <c r="G50" s="362"/>
      <c r="H50" s="362"/>
      <c r="I50" s="362"/>
      <c r="J50" s="362"/>
      <c r="K50" s="362"/>
      <c r="L50" s="362"/>
      <c r="M50" s="362"/>
      <c r="N50" s="60"/>
      <c r="O50" s="411"/>
      <c r="Q50" s="5"/>
      <c r="R50" s="5"/>
    </row>
    <row r="51" spans="1:18" ht="15" customHeight="1" x14ac:dyDescent="0.25">
      <c r="B51" s="17"/>
      <c r="C51" s="949"/>
      <c r="D51" s="362"/>
      <c r="E51" s="362"/>
      <c r="F51" s="362"/>
      <c r="G51" s="362"/>
      <c r="H51" s="362"/>
      <c r="I51" s="362"/>
      <c r="J51" s="362"/>
      <c r="K51" s="362"/>
      <c r="L51" s="362"/>
      <c r="M51" s="362"/>
      <c r="N51" s="60"/>
      <c r="O51" s="411"/>
      <c r="Q51" s="5"/>
      <c r="R51" s="5"/>
    </row>
    <row r="52" spans="1:18" ht="15" customHeight="1" x14ac:dyDescent="0.25">
      <c r="B52" s="17"/>
      <c r="C52" s="949"/>
      <c r="D52" s="362"/>
      <c r="E52" s="362"/>
      <c r="F52" s="362"/>
      <c r="G52" s="362"/>
      <c r="H52" s="362"/>
      <c r="I52" s="362"/>
      <c r="J52" s="362"/>
      <c r="K52" s="362"/>
      <c r="L52" s="362"/>
      <c r="M52" s="362"/>
      <c r="N52" s="60"/>
      <c r="O52" s="411"/>
      <c r="Q52" s="5"/>
      <c r="R52" s="5"/>
    </row>
    <row r="53" spans="1:18" ht="15" customHeight="1" x14ac:dyDescent="0.25">
      <c r="B53" s="17"/>
      <c r="C53" s="949"/>
      <c r="D53" s="362"/>
      <c r="E53" s="362"/>
      <c r="F53" s="362"/>
      <c r="G53" s="362"/>
      <c r="H53" s="362"/>
      <c r="I53" s="362"/>
      <c r="J53" s="362"/>
      <c r="K53" s="362"/>
      <c r="L53" s="362"/>
      <c r="M53" s="362"/>
      <c r="N53" s="60"/>
      <c r="O53" s="411"/>
      <c r="Q53" s="5"/>
      <c r="R53" s="5"/>
    </row>
    <row r="54" spans="1:18" ht="15" customHeight="1" x14ac:dyDescent="0.25">
      <c r="B54" s="17"/>
      <c r="C54" s="949"/>
      <c r="D54" s="362"/>
      <c r="E54" s="362"/>
      <c r="F54" s="362"/>
      <c r="G54" s="362"/>
      <c r="H54" s="362"/>
      <c r="I54" s="362"/>
      <c r="J54" s="362"/>
      <c r="K54" s="362"/>
      <c r="L54" s="362"/>
      <c r="M54" s="362"/>
      <c r="N54" s="60"/>
      <c r="O54" s="411"/>
      <c r="Q54" s="5"/>
      <c r="R54" s="5"/>
    </row>
    <row r="55" spans="1:18" ht="15" customHeight="1" x14ac:dyDescent="0.25">
      <c r="B55" s="17"/>
      <c r="C55" s="949"/>
      <c r="D55" s="362"/>
      <c r="E55" s="362"/>
      <c r="F55" s="362"/>
      <c r="G55" s="362"/>
      <c r="H55" s="362"/>
      <c r="I55" s="362"/>
      <c r="J55" s="362"/>
      <c r="K55" s="362"/>
      <c r="L55" s="362"/>
      <c r="M55" s="362"/>
      <c r="N55" s="60"/>
      <c r="O55" s="411"/>
      <c r="Q55" s="5"/>
      <c r="R55" s="5"/>
    </row>
    <row r="56" spans="1:18" ht="15" customHeight="1" x14ac:dyDescent="0.25">
      <c r="B56" s="17"/>
      <c r="C56" s="949"/>
      <c r="D56" s="362"/>
      <c r="E56" s="362"/>
      <c r="F56" s="362"/>
      <c r="G56" s="362"/>
      <c r="H56" s="362"/>
      <c r="I56" s="362"/>
      <c r="J56" s="362"/>
      <c r="K56" s="362"/>
      <c r="L56" s="362"/>
      <c r="M56" s="362"/>
      <c r="N56" s="60"/>
      <c r="O56" s="411"/>
      <c r="Q56" s="577" t="s">
        <v>798</v>
      </c>
      <c r="R56" s="5"/>
    </row>
    <row r="57" spans="1:18" ht="15" hidden="1" customHeight="1" x14ac:dyDescent="0.25">
      <c r="A57" s="93" t="str">
        <f t="shared" ref="A57:A83" si="3">IF($Q$5=0,"",IF(Q57="H","H",""))</f>
        <v>H</v>
      </c>
      <c r="B57" s="17"/>
      <c r="C57" s="949"/>
      <c r="D57" s="362"/>
      <c r="E57" s="362"/>
      <c r="F57" s="362"/>
      <c r="G57" s="362"/>
      <c r="H57" s="362"/>
      <c r="I57" s="362"/>
      <c r="J57" s="362"/>
      <c r="K57" s="362"/>
      <c r="L57" s="362"/>
      <c r="M57" s="362"/>
      <c r="N57" s="60"/>
      <c r="O57" s="411"/>
      <c r="Q57" s="584" t="str">
        <f t="shared" ref="Q57" si="4">IF(A10="H","-","H")</f>
        <v>H</v>
      </c>
      <c r="R57" s="380" t="s">
        <v>797</v>
      </c>
    </row>
    <row r="58" spans="1:18" ht="15" hidden="1" customHeight="1" x14ac:dyDescent="0.25">
      <c r="A58" s="93" t="str">
        <f t="shared" si="3"/>
        <v>H</v>
      </c>
      <c r="B58" s="17"/>
      <c r="C58" s="949"/>
      <c r="D58" s="362"/>
      <c r="E58" s="362"/>
      <c r="F58" s="362"/>
      <c r="G58" s="362"/>
      <c r="H58" s="362"/>
      <c r="I58" s="362"/>
      <c r="J58" s="362"/>
      <c r="K58" s="362"/>
      <c r="L58" s="362"/>
      <c r="M58" s="362"/>
      <c r="N58" s="60"/>
      <c r="O58" s="411"/>
      <c r="Q58" s="32" t="str">
        <f>IF(A11="H","-","H")</f>
        <v>H</v>
      </c>
      <c r="R58" s="379" t="s">
        <v>797</v>
      </c>
    </row>
    <row r="59" spans="1:18" ht="15" hidden="1" customHeight="1" x14ac:dyDescent="0.25">
      <c r="A59" s="93" t="str">
        <f t="shared" si="3"/>
        <v>H</v>
      </c>
      <c r="B59" s="17"/>
      <c r="C59" s="949"/>
      <c r="D59" s="362"/>
      <c r="E59" s="362"/>
      <c r="F59" s="362"/>
      <c r="G59" s="362"/>
      <c r="H59" s="362"/>
      <c r="I59" s="362"/>
      <c r="J59" s="362"/>
      <c r="K59" s="362"/>
      <c r="L59" s="362"/>
      <c r="M59" s="362"/>
      <c r="N59" s="60"/>
      <c r="O59" s="411"/>
      <c r="Q59" s="378" t="str">
        <f>IF(A12="H","-","H")</f>
        <v>H</v>
      </c>
      <c r="R59" s="376" t="s">
        <v>515</v>
      </c>
    </row>
    <row r="60" spans="1:18" ht="15" hidden="1" customHeight="1" x14ac:dyDescent="0.25">
      <c r="A60" s="93" t="str">
        <f t="shared" si="3"/>
        <v>H</v>
      </c>
      <c r="B60" s="17"/>
      <c r="C60" s="949"/>
      <c r="D60" s="372"/>
      <c r="E60" s="362"/>
      <c r="F60" s="362"/>
      <c r="G60" s="362"/>
      <c r="H60" s="362"/>
      <c r="I60" s="362"/>
      <c r="J60" s="362"/>
      <c r="K60" s="362"/>
      <c r="L60" s="362"/>
      <c r="M60" s="362"/>
      <c r="N60" s="60"/>
      <c r="O60" s="411"/>
      <c r="Q60" s="584" t="str">
        <f t="shared" ref="Q60:Q63" si="5">IF(A13="H","-","H")</f>
        <v>H</v>
      </c>
      <c r="R60" s="380" t="s">
        <v>796</v>
      </c>
    </row>
    <row r="61" spans="1:18" ht="15" customHeight="1" x14ac:dyDescent="0.25">
      <c r="A61" s="93" t="str">
        <f t="shared" si="3"/>
        <v/>
      </c>
      <c r="B61" s="17"/>
      <c r="C61" s="949"/>
      <c r="D61" s="372"/>
      <c r="E61" s="362"/>
      <c r="F61" s="362"/>
      <c r="G61" s="362"/>
      <c r="H61" s="362"/>
      <c r="I61" s="362"/>
      <c r="J61" s="362"/>
      <c r="K61" s="362"/>
      <c r="L61" s="362"/>
      <c r="M61" s="362"/>
      <c r="N61" s="60"/>
      <c r="O61" s="411"/>
      <c r="Q61" s="32" t="str">
        <f t="shared" si="5"/>
        <v>-</v>
      </c>
      <c r="R61" s="379" t="s">
        <v>514</v>
      </c>
    </row>
    <row r="62" spans="1:18" ht="15" customHeight="1" x14ac:dyDescent="0.25">
      <c r="A62" s="93" t="str">
        <f t="shared" si="3"/>
        <v/>
      </c>
      <c r="B62" s="17"/>
      <c r="C62" s="949"/>
      <c r="D62" s="372"/>
      <c r="E62" s="362"/>
      <c r="F62" s="362"/>
      <c r="G62" s="362"/>
      <c r="H62" s="362"/>
      <c r="I62" s="362"/>
      <c r="J62" s="362"/>
      <c r="K62" s="362"/>
      <c r="L62" s="362"/>
      <c r="M62" s="362"/>
      <c r="N62" s="60"/>
      <c r="O62" s="411"/>
      <c r="Q62" s="32" t="str">
        <f t="shared" si="5"/>
        <v>-</v>
      </c>
      <c r="R62" s="379" t="s">
        <v>397</v>
      </c>
    </row>
    <row r="63" spans="1:18" ht="15" customHeight="1" x14ac:dyDescent="0.25">
      <c r="A63" s="93" t="str">
        <f t="shared" si="3"/>
        <v/>
      </c>
      <c r="B63" s="17"/>
      <c r="C63" s="949"/>
      <c r="D63" s="372"/>
      <c r="E63" s="362"/>
      <c r="F63" s="362"/>
      <c r="G63" s="362"/>
      <c r="H63" s="362"/>
      <c r="I63" s="362"/>
      <c r="J63" s="362"/>
      <c r="K63" s="362"/>
      <c r="L63" s="362"/>
      <c r="M63" s="362"/>
      <c r="N63" s="60"/>
      <c r="O63" s="411"/>
      <c r="Q63" s="32" t="str">
        <f t="shared" si="5"/>
        <v>-</v>
      </c>
      <c r="R63" s="379" t="s">
        <v>398</v>
      </c>
    </row>
    <row r="64" spans="1:18" ht="15" hidden="1" customHeight="1" x14ac:dyDescent="0.25">
      <c r="A64" s="93" t="str">
        <f t="shared" si="3"/>
        <v>H</v>
      </c>
      <c r="B64" s="17"/>
      <c r="C64" s="949"/>
      <c r="D64" s="362"/>
      <c r="E64" s="362"/>
      <c r="F64" s="362"/>
      <c r="G64" s="362"/>
      <c r="H64" s="362"/>
      <c r="I64" s="362"/>
      <c r="J64" s="362"/>
      <c r="K64" s="362"/>
      <c r="L64" s="362"/>
      <c r="M64" s="362"/>
      <c r="N64" s="60"/>
      <c r="O64" s="411"/>
      <c r="Q64" s="378" t="str">
        <f>IF(A17="H","-","H")</f>
        <v>H</v>
      </c>
      <c r="R64" s="376" t="s">
        <v>515</v>
      </c>
    </row>
    <row r="65" spans="1:18" ht="15" customHeight="1" x14ac:dyDescent="0.25">
      <c r="A65" s="93" t="str">
        <f t="shared" si="3"/>
        <v/>
      </c>
      <c r="B65" s="17"/>
      <c r="C65" s="949"/>
      <c r="D65" s="362"/>
      <c r="E65" s="362"/>
      <c r="F65" s="362"/>
      <c r="G65" s="362"/>
      <c r="H65" s="362"/>
      <c r="I65" s="362"/>
      <c r="J65" s="362"/>
      <c r="K65" s="362"/>
      <c r="L65" s="362"/>
      <c r="M65" s="362"/>
      <c r="N65" s="60"/>
      <c r="O65" s="411"/>
      <c r="Q65" s="32" t="str">
        <f>IF(A18="H","-","H")</f>
        <v>-</v>
      </c>
      <c r="R65" s="380" t="s">
        <v>399</v>
      </c>
    </row>
    <row r="66" spans="1:18" ht="15" customHeight="1" x14ac:dyDescent="0.25">
      <c r="A66" s="93" t="str">
        <f t="shared" si="3"/>
        <v/>
      </c>
      <c r="B66" s="17"/>
      <c r="C66" s="949"/>
      <c r="D66" s="362"/>
      <c r="E66" s="362"/>
      <c r="F66" s="362"/>
      <c r="G66" s="362"/>
      <c r="H66" s="362"/>
      <c r="I66" s="362"/>
      <c r="J66" s="362"/>
      <c r="K66" s="362"/>
      <c r="L66" s="362"/>
      <c r="M66" s="362"/>
      <c r="N66" s="60"/>
      <c r="O66" s="411"/>
      <c r="Q66" s="378" t="str">
        <f>IF(A19="H","-","H")</f>
        <v>-</v>
      </c>
      <c r="R66" s="376" t="s">
        <v>515</v>
      </c>
    </row>
    <row r="67" spans="1:18" ht="15" hidden="1" customHeight="1" x14ac:dyDescent="0.25">
      <c r="A67" s="93" t="str">
        <f t="shared" si="3"/>
        <v>H</v>
      </c>
      <c r="B67" s="17"/>
      <c r="C67" s="949"/>
      <c r="D67" s="362"/>
      <c r="E67" s="362"/>
      <c r="F67" s="362"/>
      <c r="G67" s="362"/>
      <c r="H67" s="362"/>
      <c r="I67" s="362"/>
      <c r="J67" s="362"/>
      <c r="K67" s="362"/>
      <c r="L67" s="362"/>
      <c r="M67" s="362"/>
      <c r="N67" s="60"/>
      <c r="O67" s="411"/>
      <c r="Q67" s="32" t="str">
        <f t="shared" ref="Q67:Q76" si="6">IF(A23="H","-","H")</f>
        <v>H</v>
      </c>
      <c r="R67" s="379" t="s">
        <v>516</v>
      </c>
    </row>
    <row r="68" spans="1:18" ht="15" hidden="1" customHeight="1" x14ac:dyDescent="0.25">
      <c r="A68" s="93" t="str">
        <f t="shared" si="3"/>
        <v>H</v>
      </c>
      <c r="B68" s="17"/>
      <c r="C68" s="949"/>
      <c r="D68" s="362"/>
      <c r="E68" s="362"/>
      <c r="F68" s="362"/>
      <c r="G68" s="362"/>
      <c r="H68" s="362"/>
      <c r="I68" s="362"/>
      <c r="J68" s="362"/>
      <c r="K68" s="362"/>
      <c r="L68" s="362"/>
      <c r="M68" s="362"/>
      <c r="N68" s="60"/>
      <c r="O68" s="411"/>
      <c r="Q68" s="32" t="str">
        <f t="shared" si="6"/>
        <v>H</v>
      </c>
      <c r="R68" s="379" t="s">
        <v>517</v>
      </c>
    </row>
    <row r="69" spans="1:18" ht="15" hidden="1" customHeight="1" x14ac:dyDescent="0.25">
      <c r="A69" s="93" t="str">
        <f t="shared" si="3"/>
        <v>H</v>
      </c>
      <c r="B69" s="17"/>
      <c r="C69" s="949"/>
      <c r="D69" s="362"/>
      <c r="E69" s="362"/>
      <c r="F69" s="362"/>
      <c r="G69" s="362"/>
      <c r="H69" s="362"/>
      <c r="I69" s="362"/>
      <c r="J69" s="362"/>
      <c r="K69" s="362"/>
      <c r="L69" s="362"/>
      <c r="M69" s="362"/>
      <c r="N69" s="60"/>
      <c r="O69" s="411"/>
      <c r="Q69" s="32" t="str">
        <f t="shared" si="6"/>
        <v>H</v>
      </c>
      <c r="R69" s="379" t="s">
        <v>518</v>
      </c>
    </row>
    <row r="70" spans="1:18" ht="15" customHeight="1" x14ac:dyDescent="0.25">
      <c r="A70" s="93" t="str">
        <f t="shared" si="3"/>
        <v/>
      </c>
      <c r="B70" s="17"/>
      <c r="C70" s="949"/>
      <c r="D70" s="362"/>
      <c r="E70" s="362"/>
      <c r="F70" s="362"/>
      <c r="G70" s="362"/>
      <c r="H70" s="362"/>
      <c r="I70" s="362"/>
      <c r="J70" s="362"/>
      <c r="K70" s="362"/>
      <c r="L70" s="362"/>
      <c r="M70" s="362"/>
      <c r="N70" s="60"/>
      <c r="O70" s="411"/>
      <c r="Q70" s="32" t="str">
        <f t="shared" si="6"/>
        <v>-</v>
      </c>
      <c r="R70" s="379" t="s">
        <v>519</v>
      </c>
    </row>
    <row r="71" spans="1:18" ht="15" customHeight="1" x14ac:dyDescent="0.25">
      <c r="A71" s="93" t="str">
        <f t="shared" si="3"/>
        <v/>
      </c>
      <c r="B71" s="17"/>
      <c r="C71" s="949"/>
      <c r="D71" s="362"/>
      <c r="E71" s="362"/>
      <c r="F71" s="362"/>
      <c r="G71" s="362"/>
      <c r="H71" s="362"/>
      <c r="I71" s="362"/>
      <c r="J71" s="362"/>
      <c r="K71" s="362"/>
      <c r="L71" s="362"/>
      <c r="M71" s="362"/>
      <c r="N71" s="60"/>
      <c r="O71" s="411"/>
      <c r="Q71" s="32" t="str">
        <f t="shared" si="6"/>
        <v>-</v>
      </c>
      <c r="R71" s="379" t="s">
        <v>520</v>
      </c>
    </row>
    <row r="72" spans="1:18" ht="15" customHeight="1" x14ac:dyDescent="0.25">
      <c r="A72" s="93" t="str">
        <f t="shared" si="3"/>
        <v/>
      </c>
      <c r="B72" s="17"/>
      <c r="C72" s="949"/>
      <c r="D72" s="362"/>
      <c r="E72" s="362"/>
      <c r="F72" s="362"/>
      <c r="G72" s="362"/>
      <c r="H72" s="362"/>
      <c r="I72" s="362"/>
      <c r="J72" s="362"/>
      <c r="K72" s="362"/>
      <c r="L72" s="362"/>
      <c r="M72" s="362"/>
      <c r="N72" s="60"/>
      <c r="O72" s="411"/>
      <c r="Q72" s="32" t="str">
        <f t="shared" si="6"/>
        <v>-</v>
      </c>
      <c r="R72" s="379" t="s">
        <v>521</v>
      </c>
    </row>
    <row r="73" spans="1:18" ht="15" customHeight="1" x14ac:dyDescent="0.25">
      <c r="A73" s="93" t="str">
        <f t="shared" si="3"/>
        <v/>
      </c>
      <c r="B73" s="17"/>
      <c r="C73" s="949"/>
      <c r="D73" s="362"/>
      <c r="E73" s="362"/>
      <c r="F73" s="362"/>
      <c r="G73" s="362"/>
      <c r="H73" s="362"/>
      <c r="I73" s="362"/>
      <c r="J73" s="362"/>
      <c r="K73" s="362"/>
      <c r="L73" s="362"/>
      <c r="M73" s="362"/>
      <c r="N73" s="60"/>
      <c r="O73" s="411"/>
      <c r="Q73" s="32" t="str">
        <f t="shared" si="6"/>
        <v>-</v>
      </c>
      <c r="R73" s="379" t="s">
        <v>522</v>
      </c>
    </row>
    <row r="74" spans="1:18" ht="15" customHeight="1" x14ac:dyDescent="0.25">
      <c r="A74" s="93" t="str">
        <f t="shared" si="3"/>
        <v/>
      </c>
      <c r="B74" s="17"/>
      <c r="C74" s="949"/>
      <c r="D74" s="362"/>
      <c r="E74" s="362"/>
      <c r="F74" s="362"/>
      <c r="G74" s="362"/>
      <c r="H74" s="362"/>
      <c r="I74" s="362"/>
      <c r="J74" s="362"/>
      <c r="K74" s="362"/>
      <c r="L74" s="362"/>
      <c r="M74" s="362"/>
      <c r="N74" s="60"/>
      <c r="O74" s="411"/>
      <c r="Q74" s="32" t="str">
        <f t="shared" si="6"/>
        <v>-</v>
      </c>
      <c r="R74" s="379" t="s">
        <v>523</v>
      </c>
    </row>
    <row r="75" spans="1:18" ht="15" customHeight="1" x14ac:dyDescent="0.25">
      <c r="A75" s="93" t="str">
        <f t="shared" si="3"/>
        <v/>
      </c>
      <c r="B75" s="17"/>
      <c r="C75" s="949"/>
      <c r="D75" s="362"/>
      <c r="E75" s="362"/>
      <c r="F75" s="362"/>
      <c r="G75" s="362"/>
      <c r="H75" s="362"/>
      <c r="I75" s="362"/>
      <c r="J75" s="362"/>
      <c r="K75" s="362"/>
      <c r="L75" s="362"/>
      <c r="M75" s="362"/>
      <c r="N75" s="60"/>
      <c r="O75" s="411"/>
      <c r="Q75" s="32" t="str">
        <f t="shared" si="6"/>
        <v>-</v>
      </c>
      <c r="R75" s="379" t="s">
        <v>524</v>
      </c>
    </row>
    <row r="76" spans="1:18" ht="15" customHeight="1" x14ac:dyDescent="0.25">
      <c r="A76" s="93" t="str">
        <f t="shared" si="3"/>
        <v/>
      </c>
      <c r="B76" s="17"/>
      <c r="C76" s="949"/>
      <c r="D76" s="362"/>
      <c r="E76" s="362"/>
      <c r="F76" s="362"/>
      <c r="G76" s="362"/>
      <c r="H76" s="362"/>
      <c r="I76" s="362"/>
      <c r="J76" s="362"/>
      <c r="K76" s="362"/>
      <c r="L76" s="362"/>
      <c r="M76" s="362"/>
      <c r="N76" s="60"/>
      <c r="O76" s="411"/>
      <c r="Q76" s="32" t="str">
        <f t="shared" si="6"/>
        <v>-</v>
      </c>
      <c r="R76" s="379" t="s">
        <v>525</v>
      </c>
    </row>
    <row r="77" spans="1:18" ht="15" hidden="1" customHeight="1" x14ac:dyDescent="0.25">
      <c r="A77" s="93" t="str">
        <f t="shared" si="3"/>
        <v>H</v>
      </c>
      <c r="B77" s="17"/>
      <c r="C77" s="949"/>
      <c r="D77" s="362"/>
      <c r="E77" s="362"/>
      <c r="F77" s="362"/>
      <c r="G77" s="362"/>
      <c r="H77" s="362"/>
      <c r="I77" s="362"/>
      <c r="J77" s="362"/>
      <c r="K77" s="362"/>
      <c r="L77" s="362"/>
      <c r="M77" s="362"/>
      <c r="N77" s="60"/>
      <c r="O77" s="411"/>
      <c r="Q77" s="378" t="str">
        <f t="shared" ref="Q77:Q83" si="7">IF(A33="H","-","H")</f>
        <v>H</v>
      </c>
      <c r="R77" s="376" t="s">
        <v>515</v>
      </c>
    </row>
    <row r="78" spans="1:18" ht="15" customHeight="1" x14ac:dyDescent="0.25">
      <c r="A78" s="93" t="str">
        <f t="shared" si="3"/>
        <v/>
      </c>
      <c r="B78" s="17"/>
      <c r="C78" s="949"/>
      <c r="D78" s="362"/>
      <c r="E78" s="362"/>
      <c r="F78" s="362"/>
      <c r="G78" s="362"/>
      <c r="H78" s="362"/>
      <c r="I78" s="362"/>
      <c r="J78" s="362"/>
      <c r="K78" s="362"/>
      <c r="L78" s="362"/>
      <c r="M78" s="362"/>
      <c r="N78" s="60"/>
      <c r="O78" s="411"/>
      <c r="Q78" s="32" t="str">
        <f t="shared" si="7"/>
        <v>-</v>
      </c>
      <c r="R78" s="379" t="s">
        <v>526</v>
      </c>
    </row>
    <row r="79" spans="1:18" ht="15" customHeight="1" x14ac:dyDescent="0.25">
      <c r="A79" s="93" t="str">
        <f t="shared" si="3"/>
        <v/>
      </c>
      <c r="B79" s="17"/>
      <c r="C79" s="949"/>
      <c r="D79" s="362"/>
      <c r="E79" s="362"/>
      <c r="F79" s="362"/>
      <c r="G79" s="362"/>
      <c r="H79" s="362"/>
      <c r="I79" s="362"/>
      <c r="J79" s="362"/>
      <c r="K79" s="362"/>
      <c r="L79" s="362"/>
      <c r="M79" s="362"/>
      <c r="N79" s="60"/>
      <c r="O79" s="411"/>
      <c r="Q79" s="378" t="str">
        <f t="shared" si="7"/>
        <v>-</v>
      </c>
      <c r="R79" s="376" t="s">
        <v>515</v>
      </c>
    </row>
    <row r="80" spans="1:18" ht="15" customHeight="1" x14ac:dyDescent="0.25">
      <c r="A80" s="93" t="str">
        <f t="shared" si="3"/>
        <v/>
      </c>
      <c r="B80" s="17"/>
      <c r="C80" s="949"/>
      <c r="D80" s="362"/>
      <c r="E80" s="362"/>
      <c r="F80" s="362"/>
      <c r="G80" s="362"/>
      <c r="H80" s="362"/>
      <c r="I80" s="362"/>
      <c r="J80" s="362"/>
      <c r="K80" s="362"/>
      <c r="L80" s="362"/>
      <c r="M80" s="362"/>
      <c r="N80" s="60"/>
      <c r="O80" s="411"/>
      <c r="Q80" s="32" t="str">
        <f t="shared" si="7"/>
        <v>-</v>
      </c>
      <c r="R80" s="379" t="s">
        <v>527</v>
      </c>
    </row>
    <row r="81" spans="1:18" ht="15" customHeight="1" x14ac:dyDescent="0.25">
      <c r="A81" s="93" t="str">
        <f t="shared" si="3"/>
        <v/>
      </c>
      <c r="B81" s="17"/>
      <c r="C81" s="949"/>
      <c r="D81" s="362"/>
      <c r="E81" s="362"/>
      <c r="F81" s="362"/>
      <c r="G81" s="362"/>
      <c r="H81" s="362"/>
      <c r="I81" s="362"/>
      <c r="J81" s="362"/>
      <c r="K81" s="362"/>
      <c r="L81" s="362"/>
      <c r="M81" s="362"/>
      <c r="N81" s="60"/>
      <c r="O81" s="411"/>
      <c r="Q81" s="378" t="str">
        <f t="shared" si="7"/>
        <v>-</v>
      </c>
      <c r="R81" s="376" t="s">
        <v>515</v>
      </c>
    </row>
    <row r="82" spans="1:18" ht="15" customHeight="1" x14ac:dyDescent="0.25">
      <c r="A82" s="93" t="str">
        <f t="shared" si="3"/>
        <v/>
      </c>
      <c r="B82" s="17"/>
      <c r="C82" s="949"/>
      <c r="D82" s="362"/>
      <c r="E82" s="362"/>
      <c r="F82" s="362"/>
      <c r="G82" s="362"/>
      <c r="H82" s="362"/>
      <c r="I82" s="362"/>
      <c r="J82" s="362"/>
      <c r="K82" s="362"/>
      <c r="L82" s="362"/>
      <c r="M82" s="362"/>
      <c r="N82" s="60"/>
      <c r="O82" s="411"/>
      <c r="Q82" s="32" t="str">
        <f t="shared" si="7"/>
        <v>-</v>
      </c>
      <c r="R82" s="379" t="s">
        <v>794</v>
      </c>
    </row>
    <row r="83" spans="1:18" x14ac:dyDescent="0.25">
      <c r="A83" s="93" t="str">
        <f t="shared" si="3"/>
        <v/>
      </c>
      <c r="B83" s="17"/>
      <c r="C83" s="949"/>
      <c r="D83" s="362"/>
      <c r="E83" s="347"/>
      <c r="F83" s="347"/>
      <c r="G83" s="347"/>
      <c r="H83" s="362"/>
      <c r="I83" s="362"/>
      <c r="J83" s="362"/>
      <c r="K83" s="362"/>
      <c r="L83" s="362"/>
      <c r="M83" s="362"/>
      <c r="N83" s="60"/>
      <c r="O83" s="411"/>
      <c r="Q83" s="378" t="str">
        <f t="shared" si="7"/>
        <v>-</v>
      </c>
      <c r="R83" s="376" t="s">
        <v>794</v>
      </c>
    </row>
    <row r="84" spans="1:18" ht="75" customHeight="1" x14ac:dyDescent="0.25">
      <c r="B84" s="17"/>
      <c r="C84" s="950"/>
      <c r="D84" s="107"/>
      <c r="E84" s="107"/>
      <c r="F84" s="107"/>
      <c r="G84" s="107"/>
      <c r="H84" s="107"/>
      <c r="I84" s="107"/>
      <c r="J84" s="107"/>
      <c r="K84" s="107"/>
      <c r="L84" s="107"/>
      <c r="M84" s="107"/>
      <c r="N84" s="952"/>
      <c r="O84" s="411"/>
      <c r="Q84" s="5"/>
      <c r="R84" s="5"/>
    </row>
    <row r="85" spans="1:18" ht="15" customHeight="1" x14ac:dyDescent="0.25">
      <c r="B85" s="17"/>
      <c r="C85" s="17"/>
      <c r="D85" s="17"/>
      <c r="E85" s="17"/>
      <c r="F85" s="17"/>
      <c r="G85" s="17"/>
      <c r="H85" s="17"/>
      <c r="I85" s="17"/>
      <c r="J85" s="17"/>
      <c r="K85" s="17"/>
      <c r="L85" s="17"/>
      <c r="M85" s="17"/>
      <c r="N85" s="17"/>
      <c r="O85" s="411"/>
      <c r="Q85" s="5"/>
      <c r="R85" s="5"/>
    </row>
    <row r="86" spans="1:18" ht="15" customHeight="1" x14ac:dyDescent="0.25">
      <c r="B86" s="17"/>
      <c r="C86" s="985"/>
      <c r="D86" s="975" t="str">
        <f>Reglement!D71</f>
        <v>www.excel-pool.nl</v>
      </c>
      <c r="E86" s="986"/>
      <c r="F86" s="986"/>
      <c r="G86" s="986"/>
      <c r="H86" s="986"/>
      <c r="I86" s="986"/>
      <c r="J86" s="986"/>
      <c r="K86" s="986"/>
      <c r="L86" s="986"/>
      <c r="M86" s="977" t="str">
        <f>Reglement!M71</f>
        <v>©2024 Eric de Jong v24.00dh</v>
      </c>
      <c r="N86" s="987"/>
      <c r="O86" s="411"/>
      <c r="Q86" s="5"/>
      <c r="R86" s="5"/>
    </row>
    <row r="87" spans="1:18" ht="15" customHeight="1" x14ac:dyDescent="0.25">
      <c r="B87" s="17"/>
      <c r="C87" s="17"/>
      <c r="D87" s="17"/>
      <c r="E87" s="17"/>
      <c r="F87" s="17"/>
      <c r="G87" s="17"/>
      <c r="H87" s="17"/>
      <c r="I87" s="17"/>
      <c r="J87" s="17"/>
      <c r="K87" s="17"/>
      <c r="L87" s="17"/>
      <c r="M87" s="17"/>
      <c r="N87" s="17"/>
      <c r="O87" s="411"/>
      <c r="Q87" s="5"/>
      <c r="R87" s="5"/>
    </row>
    <row r="91" spans="1:18" ht="26.25" hidden="1" customHeight="1" x14ac:dyDescent="0.4">
      <c r="B91" s="78"/>
      <c r="C91" s="99" t="s">
        <v>31</v>
      </c>
      <c r="D91" s="82"/>
      <c r="E91" s="82"/>
      <c r="F91" s="82"/>
      <c r="G91" s="82"/>
      <c r="H91" s="82"/>
      <c r="I91" s="82"/>
      <c r="J91" s="82"/>
      <c r="K91" s="82"/>
      <c r="L91" s="82"/>
      <c r="M91" s="100" t="s">
        <v>46</v>
      </c>
      <c r="N91" s="1085">
        <f>Reglement!N81</f>
        <v>1</v>
      </c>
      <c r="O91" s="1086"/>
      <c r="P91" s="133">
        <f>Reglement!Q81</f>
        <v>1</v>
      </c>
      <c r="Q91" s="132" t="s">
        <v>165</v>
      </c>
      <c r="R91" s="127"/>
    </row>
    <row r="92" spans="1:18" ht="15" hidden="1" customHeight="1" x14ac:dyDescent="0.25">
      <c r="B92" s="74"/>
      <c r="C92" s="1065" t="s">
        <v>32</v>
      </c>
      <c r="D92" s="1065"/>
      <c r="E92" s="1066"/>
      <c r="F92" s="1067" t="str">
        <f>Reglement!F82</f>
        <v>|dh|E150614|10#624|Jamilo*#EK-pool|Jamilo|info@jamilo.nl||DD|P|##|##|500|5000|3000|2000|||||30|22|#0|16|10|#4|#5|#3|#1|##|X##|X##|X##|BANA|</v>
      </c>
      <c r="G92" s="1068"/>
      <c r="H92" s="1068"/>
      <c r="I92" s="1068"/>
      <c r="J92" s="1068"/>
      <c r="K92" s="1068"/>
      <c r="L92" s="1068"/>
      <c r="M92" s="1068"/>
      <c r="N92" s="1063">
        <f>Reglement!N82</f>
        <v>139</v>
      </c>
      <c r="O92" s="1064"/>
      <c r="P92" s="86">
        <f>Reglement!Q82</f>
        <v>1</v>
      </c>
      <c r="Q92" s="128" t="s">
        <v>144</v>
      </c>
      <c r="R92" s="129"/>
    </row>
    <row r="93" spans="1:18" hidden="1" x14ac:dyDescent="0.25">
      <c r="B93" s="74"/>
      <c r="C93" s="1065" t="s">
        <v>103</v>
      </c>
      <c r="D93" s="1065"/>
      <c r="E93" s="1066"/>
      <c r="F93" s="1067" t="str">
        <f>Reglement!F84</f>
        <v>|DD|P|##|##|500|5000|3000|2000||||</v>
      </c>
      <c r="G93" s="1068"/>
      <c r="H93" s="1068"/>
      <c r="I93" s="1068"/>
      <c r="J93" s="1068"/>
      <c r="K93" s="1068"/>
      <c r="L93" s="1068"/>
      <c r="M93" s="1068"/>
      <c r="N93" s="1063">
        <f>Reglement!N84</f>
        <v>34</v>
      </c>
      <c r="O93" s="1064"/>
      <c r="P93" s="86">
        <f>Reglement!Q83</f>
        <v>1</v>
      </c>
      <c r="Q93" s="128" t="s">
        <v>145</v>
      </c>
      <c r="R93" s="129"/>
    </row>
    <row r="94" spans="1:18" hidden="1" x14ac:dyDescent="0.25">
      <c r="B94" s="74"/>
      <c r="C94" s="71"/>
      <c r="D94" s="71"/>
      <c r="E94" s="71"/>
      <c r="F94" s="125"/>
      <c r="G94" s="126"/>
      <c r="H94" s="126"/>
      <c r="I94" s="125"/>
      <c r="J94" s="125"/>
      <c r="K94" s="125"/>
      <c r="L94" s="125"/>
      <c r="M94" s="125"/>
      <c r="N94" s="113"/>
      <c r="O94" s="618"/>
      <c r="P94" s="86">
        <f>Reglement!Q84</f>
        <v>1</v>
      </c>
      <c r="Q94" s="128" t="s">
        <v>146</v>
      </c>
      <c r="R94" s="129"/>
    </row>
    <row r="95" spans="1:18" hidden="1" x14ac:dyDescent="0.25">
      <c r="B95" s="101"/>
      <c r="C95" s="28" t="s">
        <v>152</v>
      </c>
      <c r="D95" s="3"/>
      <c r="E95" s="3"/>
      <c r="F95" s="3"/>
      <c r="G95" s="61" t="str">
        <f>Reglement!G103</f>
        <v>P</v>
      </c>
      <c r="H95" s="61" t="str">
        <f>Reglement!H103</f>
        <v>%</v>
      </c>
      <c r="I95" s="3" t="s">
        <v>34</v>
      </c>
      <c r="J95" s="3"/>
      <c r="K95" s="3"/>
      <c r="L95" s="3"/>
      <c r="M95" s="3"/>
      <c r="N95" s="3"/>
      <c r="O95" s="73"/>
      <c r="P95" s="86" t="str">
        <f>Reglement!Q85</f>
        <v>dh</v>
      </c>
      <c r="Q95" s="128" t="s">
        <v>147</v>
      </c>
      <c r="R95" s="129"/>
    </row>
    <row r="96" spans="1:18" hidden="1" x14ac:dyDescent="0.25">
      <c r="B96" s="101"/>
      <c r="C96" s="28"/>
      <c r="D96" s="3"/>
      <c r="E96" s="3"/>
      <c r="F96" s="3"/>
      <c r="G96" s="61" t="str">
        <f>Reglement!G104</f>
        <v>##</v>
      </c>
      <c r="H96" s="61" t="str">
        <f>Reglement!H104</f>
        <v/>
      </c>
      <c r="I96" s="3" t="s">
        <v>400</v>
      </c>
      <c r="J96" s="3"/>
      <c r="K96" s="3"/>
      <c r="L96" s="3"/>
      <c r="M96" s="117"/>
      <c r="N96" s="3"/>
      <c r="O96" s="73"/>
      <c r="P96" s="108" t="str">
        <f>Reglement!Q86</f>
        <v>dh</v>
      </c>
      <c r="Q96" s="130" t="s">
        <v>148</v>
      </c>
      <c r="R96" s="131"/>
    </row>
    <row r="97" spans="2:20" hidden="1" x14ac:dyDescent="0.25">
      <c r="B97" s="101"/>
      <c r="C97" s="1059" t="str">
        <f>Reglement!C98</f>
        <v>NEE</v>
      </c>
      <c r="D97" s="1060"/>
      <c r="E97" s="575" t="s">
        <v>755</v>
      </c>
      <c r="F97" s="3"/>
      <c r="G97" s="61" t="str">
        <f>Reglement!G105</f>
        <v>##</v>
      </c>
      <c r="H97" s="61" t="str">
        <f>Reglement!H105</f>
        <v/>
      </c>
      <c r="I97" s="3" t="s">
        <v>93</v>
      </c>
      <c r="J97" s="3"/>
      <c r="K97" s="3"/>
      <c r="L97" s="3"/>
      <c r="M97" s="117"/>
      <c r="N97" s="3"/>
      <c r="O97" s="73"/>
      <c r="P97" s="87"/>
      <c r="Q97" s="55"/>
      <c r="R97" s="366"/>
    </row>
    <row r="98" spans="2:20" hidden="1" x14ac:dyDescent="0.25">
      <c r="B98" s="101"/>
      <c r="C98" s="28"/>
      <c r="D98" s="3"/>
      <c r="E98" s="575" t="s">
        <v>756</v>
      </c>
      <c r="F98" s="3"/>
      <c r="G98" s="61" t="str">
        <f>Reglement!G106</f>
        <v>500</v>
      </c>
      <c r="H98" s="61">
        <f>Reglement!H106</f>
        <v>5</v>
      </c>
      <c r="I98" s="103" t="s">
        <v>35</v>
      </c>
      <c r="J98" s="3"/>
      <c r="K98" s="122">
        <f>LARGE(K99:K108,1)</f>
        <v>0</v>
      </c>
      <c r="L98" s="365" t="str">
        <f>"= aantal decimalen"</f>
        <v>= aantal decimalen</v>
      </c>
      <c r="M98" s="31" t="str">
        <f t="shared" ref="M98:M108" si="8">"€"&amp;" "&amp;H98&amp;IF(CODE(LEFT(RIGHT(H98,2),1))=44,"0",IF(CODE(LEFT(RIGHT(H98,3),1))=44,"",",00"))</f>
        <v>€ 5,00</v>
      </c>
      <c r="N98" s="3"/>
      <c r="O98" s="73"/>
      <c r="P98" s="622" t="s">
        <v>249</v>
      </c>
      <c r="Q98" s="15"/>
      <c r="R98" s="367"/>
    </row>
    <row r="99" spans="2:20" hidden="1" x14ac:dyDescent="0.25">
      <c r="B99" s="101"/>
      <c r="C99" s="3"/>
      <c r="D99" s="102"/>
      <c r="E99" s="102"/>
      <c r="F99" s="3"/>
      <c r="G99" s="61" t="str">
        <f>Reglement!G107</f>
        <v>5000</v>
      </c>
      <c r="H99" s="61">
        <f>Reglement!H107</f>
        <v>50</v>
      </c>
      <c r="I99" s="3" t="s">
        <v>36</v>
      </c>
      <c r="J99" s="3"/>
      <c r="K99" s="120">
        <f>IF(G99="",0,IF(RIGHT(G99,1)="0",IF(RIGHT(G99,2)="00",0,1),2))</f>
        <v>0</v>
      </c>
      <c r="L99" s="31" t="str">
        <f ca="1">H99&amp;IF($K$98=2,IF($K$98-K99=2,",00",IF($K$98-K99=1,"0","")),IF($K$98=1,IF($K$98-K99=1,",0",""),""))&amp;"% "&amp;Taal03!$B$186</f>
        <v>50% van de prijzenpot</v>
      </c>
      <c r="M99" s="31" t="str">
        <f t="shared" si="8"/>
        <v>€ 50,00</v>
      </c>
      <c r="N99" s="3"/>
      <c r="O99" s="73"/>
      <c r="P99" s="623" t="s">
        <v>234</v>
      </c>
      <c r="Q99" s="15"/>
      <c r="R99" s="367"/>
    </row>
    <row r="100" spans="2:20" hidden="1" x14ac:dyDescent="0.25">
      <c r="B100" s="101"/>
      <c r="C100" s="3"/>
      <c r="D100" s="102"/>
      <c r="E100" s="102"/>
      <c r="F100" s="3"/>
      <c r="G100" s="61" t="str">
        <f>Reglement!G108</f>
        <v>3000</v>
      </c>
      <c r="H100" s="61">
        <f>Reglement!H108</f>
        <v>30</v>
      </c>
      <c r="I100" s="3" t="s">
        <v>37</v>
      </c>
      <c r="J100" s="3"/>
      <c r="K100" s="120">
        <f t="shared" ref="K100:K108" si="9">IF(G100="",0,IF(RIGHT(G100,1)="0",IF(RIGHT(G100,2)="00",0,1),2))</f>
        <v>0</v>
      </c>
      <c r="L100" s="31" t="str">
        <f ca="1">H100&amp;IF($K$98=2,IF($K$98-K100=2,",00",IF($K$98-K100=1,"0","")),IF($K$98=1,IF($K$98-K100=1,",0",""),""))&amp;"% "&amp;Taal03!$B$186</f>
        <v>30% van de prijzenpot</v>
      </c>
      <c r="M100" s="31" t="str">
        <f t="shared" si="8"/>
        <v>€ 30,00</v>
      </c>
      <c r="N100" s="3"/>
      <c r="O100" s="73"/>
      <c r="P100" s="368"/>
      <c r="Q100" s="56"/>
      <c r="R100" s="369"/>
      <c r="T100" s="34"/>
    </row>
    <row r="101" spans="2:20" hidden="1" x14ac:dyDescent="0.25">
      <c r="B101" s="101"/>
      <c r="C101" s="3"/>
      <c r="D101" s="102"/>
      <c r="E101" s="102"/>
      <c r="F101" s="3"/>
      <c r="G101" s="61" t="str">
        <f>Reglement!G109</f>
        <v>2000</v>
      </c>
      <c r="H101" s="61">
        <f>Reglement!H109</f>
        <v>20</v>
      </c>
      <c r="I101" s="3" t="s">
        <v>38</v>
      </c>
      <c r="J101" s="3"/>
      <c r="K101" s="120">
        <f t="shared" si="9"/>
        <v>0</v>
      </c>
      <c r="L101" s="31" t="str">
        <f ca="1">H101&amp;IF($K$98=2,IF($K$98-K101=2,",00",IF($K$98-K101=1,"0","")),IF($K$98=1,IF($K$98-K101=1,",0",""),""))&amp;"% "&amp;Taal03!$B$186</f>
        <v>20% van de prijzenpot</v>
      </c>
      <c r="M101" s="31" t="str">
        <f t="shared" si="8"/>
        <v>€ 20,00</v>
      </c>
      <c r="N101" s="3"/>
      <c r="O101" s="73"/>
      <c r="P101" s="78"/>
      <c r="Q101" s="82"/>
      <c r="R101" s="370"/>
      <c r="T101" s="35"/>
    </row>
    <row r="102" spans="2:20" hidden="1" x14ac:dyDescent="0.25">
      <c r="B102" s="101"/>
      <c r="C102" s="3"/>
      <c r="D102" s="102"/>
      <c r="E102" s="102"/>
      <c r="F102" s="3"/>
      <c r="G102" s="61" t="str">
        <f>Reglement!G110</f>
        <v/>
      </c>
      <c r="H102" s="61">
        <f>Reglement!H110</f>
        <v>0</v>
      </c>
      <c r="I102" s="3" t="s">
        <v>39</v>
      </c>
      <c r="J102" s="3"/>
      <c r="K102" s="120">
        <f t="shared" si="9"/>
        <v>0</v>
      </c>
      <c r="L102" s="31" t="str">
        <f ca="1">H102&amp;IF($K$98=2,IF($K$98-K102=2,",00",IF($K$98-K102=1,"0","")),IF($K$98=1,IF($K$98-K102=1,",0",""),""))&amp;"% "&amp;Taal03!$B$186</f>
        <v>0% van de prijzenpot</v>
      </c>
      <c r="M102" s="31" t="str">
        <f t="shared" si="8"/>
        <v>€ 0,00</v>
      </c>
      <c r="N102" s="3"/>
      <c r="O102" s="73"/>
      <c r="P102" s="74"/>
      <c r="Q102" s="620" t="str">
        <f>Reglement!G96</f>
        <v>D</v>
      </c>
      <c r="R102" s="73" t="s">
        <v>792</v>
      </c>
      <c r="T102" s="36"/>
    </row>
    <row r="103" spans="2:20" hidden="1" x14ac:dyDescent="0.25">
      <c r="B103" s="101"/>
      <c r="C103" s="3"/>
      <c r="D103" s="102"/>
      <c r="E103" s="102"/>
      <c r="F103" s="3"/>
      <c r="G103" s="61" t="str">
        <f>Reglement!G111</f>
        <v/>
      </c>
      <c r="H103" s="61">
        <f>Reglement!H111</f>
        <v>0</v>
      </c>
      <c r="I103" s="3" t="s">
        <v>40</v>
      </c>
      <c r="J103" s="3"/>
      <c r="K103" s="120">
        <f t="shared" si="9"/>
        <v>0</v>
      </c>
      <c r="L103" s="31" t="str">
        <f ca="1">H103&amp;IF($K$98=2,IF($K$98-K103=2,",00",IF($K$98-K103=1,"0","")),IF($K$98=1,IF($K$98-K103=1,",0",""),""))&amp;"% "&amp;Taal03!$B$186</f>
        <v>0% van de prijzenpot</v>
      </c>
      <c r="M103" s="31" t="str">
        <f t="shared" si="8"/>
        <v>€ 0,00</v>
      </c>
      <c r="N103" s="3"/>
      <c r="O103" s="73"/>
      <c r="P103" s="74"/>
      <c r="Q103" s="620" t="str">
        <f>Reglement!G97</f>
        <v>D</v>
      </c>
      <c r="R103" s="73" t="s">
        <v>1173</v>
      </c>
    </row>
    <row r="104" spans="2:20" hidden="1" x14ac:dyDescent="0.25">
      <c r="B104" s="101"/>
      <c r="C104" s="3"/>
      <c r="D104" s="102"/>
      <c r="E104" s="102"/>
      <c r="F104" s="3"/>
      <c r="G104" s="61" t="str">
        <f>Reglement!G112</f>
        <v/>
      </c>
      <c r="H104" s="61">
        <f>Reglement!H112</f>
        <v>0</v>
      </c>
      <c r="I104" s="3" t="s">
        <v>41</v>
      </c>
      <c r="J104" s="3"/>
      <c r="K104" s="120">
        <f t="shared" si="9"/>
        <v>0</v>
      </c>
      <c r="L104" s="31" t="str">
        <f ca="1">H104&amp;IF($K$98=2,IF($K$98-K104=2,",00",IF($K$98-K104=1,"0","")),IF($K$98=1,IF($K$98-K104=1,",0",""),""))&amp;"% "&amp;Taal03!$B$186</f>
        <v>0% van de prijzenpot</v>
      </c>
      <c r="M104" s="31" t="str">
        <f t="shared" si="8"/>
        <v>€ 0,00</v>
      </c>
      <c r="N104" s="3"/>
      <c r="O104" s="73"/>
      <c r="P104" s="74"/>
      <c r="Q104" s="620" t="str">
        <f>Reglement!H98</f>
        <v/>
      </c>
      <c r="R104" s="371" t="s">
        <v>396</v>
      </c>
    </row>
    <row r="105" spans="2:20" hidden="1" x14ac:dyDescent="0.25">
      <c r="B105" s="101"/>
      <c r="C105" s="3"/>
      <c r="D105" s="102"/>
      <c r="E105" s="102"/>
      <c r="F105" s="3"/>
      <c r="G105" s="61" t="str">
        <f>Reglement!G113</f>
        <v/>
      </c>
      <c r="H105" s="61">
        <f>Reglement!H113</f>
        <v>0</v>
      </c>
      <c r="I105" s="3" t="s">
        <v>42</v>
      </c>
      <c r="J105" s="3"/>
      <c r="K105" s="120">
        <f t="shared" si="9"/>
        <v>0</v>
      </c>
      <c r="L105" s="31" t="str">
        <f ca="1">H105&amp;IF($K$98=2,IF($K$98-K105=2,",00",IF($K$98-K105=1,"0","")),IF($K$98=1,IF($K$98-K105=1,",0",""),""))&amp;"% "&amp;Taal03!$B$186</f>
        <v>0% van de prijzenpot</v>
      </c>
      <c r="M105" s="31" t="str">
        <f t="shared" si="8"/>
        <v>€ 0,00</v>
      </c>
      <c r="N105" s="3"/>
      <c r="O105" s="73"/>
      <c r="P105" s="74"/>
      <c r="Q105" s="620" t="str">
        <f>Reglement!H99</f>
        <v/>
      </c>
      <c r="R105" s="371" t="s">
        <v>397</v>
      </c>
    </row>
    <row r="106" spans="2:20" hidden="1" x14ac:dyDescent="0.25">
      <c r="B106" s="101"/>
      <c r="C106" s="3"/>
      <c r="D106" s="102"/>
      <c r="E106" s="102"/>
      <c r="F106" s="3"/>
      <c r="G106" s="61" t="str">
        <f>Reglement!G114</f>
        <v/>
      </c>
      <c r="H106" s="61">
        <f>Reglement!H114</f>
        <v>0</v>
      </c>
      <c r="I106" s="3" t="s">
        <v>43</v>
      </c>
      <c r="J106" s="3"/>
      <c r="K106" s="120">
        <f t="shared" si="9"/>
        <v>0</v>
      </c>
      <c r="L106" s="31" t="str">
        <f ca="1">H106&amp;IF($K$98=2,IF($K$98-K106=2,",00",IF($K$98-K106=1,"0","")),IF($K$98=1,IF($K$98-K106=1,",0",""),""))&amp;"% "&amp;Taal03!$B$186</f>
        <v>0% van de prijzenpot</v>
      </c>
      <c r="M106" s="31" t="str">
        <f t="shared" si="8"/>
        <v>€ 0,00</v>
      </c>
      <c r="N106" s="3"/>
      <c r="O106" s="73"/>
      <c r="P106" s="74"/>
      <c r="Q106" s="620" t="str">
        <f>Reglement!H100</f>
        <v/>
      </c>
      <c r="R106" s="371" t="s">
        <v>398</v>
      </c>
    </row>
    <row r="107" spans="2:20" hidden="1" x14ac:dyDescent="0.25">
      <c r="B107" s="101"/>
      <c r="C107" s="3"/>
      <c r="D107" s="102"/>
      <c r="E107" s="102"/>
      <c r="F107" s="3"/>
      <c r="G107" s="61" t="str">
        <f>Reglement!G115</f>
        <v/>
      </c>
      <c r="H107" s="61">
        <f>Reglement!H115</f>
        <v>0</v>
      </c>
      <c r="I107" s="3" t="s">
        <v>44</v>
      </c>
      <c r="J107" s="3"/>
      <c r="K107" s="120">
        <f t="shared" si="9"/>
        <v>0</v>
      </c>
      <c r="L107" s="31" t="str">
        <f ca="1">H107&amp;IF($K$98=2,IF($K$98-K107=2,",00",IF($K$98-K107=1,"0","")),IF($K$98=1,IF($K$98-K107=1,",0",""),""))&amp;"% "&amp;Taal03!$B$186</f>
        <v>0% van de prijzenpot</v>
      </c>
      <c r="M107" s="31" t="str">
        <f t="shared" si="8"/>
        <v>€ 0,00</v>
      </c>
      <c r="N107" s="3"/>
      <c r="O107" s="73"/>
      <c r="P107" s="74"/>
      <c r="Q107" s="620" t="str">
        <f>Reglement!H101</f>
        <v/>
      </c>
      <c r="R107" s="371" t="s">
        <v>399</v>
      </c>
    </row>
    <row r="108" spans="2:20" hidden="1" x14ac:dyDescent="0.25">
      <c r="B108" s="101"/>
      <c r="C108" s="3"/>
      <c r="D108" s="102"/>
      <c r="E108" s="102"/>
      <c r="F108" s="3"/>
      <c r="G108" s="31" t="str">
        <f>Reglement!G116</f>
        <v/>
      </c>
      <c r="H108" s="31">
        <f>Reglement!H116</f>
        <v>0</v>
      </c>
      <c r="I108" s="3" t="s">
        <v>45</v>
      </c>
      <c r="J108" s="3"/>
      <c r="K108" s="237">
        <f t="shared" si="9"/>
        <v>0</v>
      </c>
      <c r="L108" s="31" t="str">
        <f ca="1">H108&amp;IF($K$98=2,IF($K$98-K108=2,",00",IF($K$98-K108=1,"0","")),IF($K$98=1,IF($K$98-K108=1,",0",""),""))&amp;"% "&amp;Taal03!$B$186</f>
        <v>0% van de prijzenpot</v>
      </c>
      <c r="M108" s="31" t="str">
        <f t="shared" si="8"/>
        <v>€ 0,00</v>
      </c>
      <c r="N108" s="3"/>
      <c r="O108" s="73"/>
      <c r="P108" s="74"/>
      <c r="Q108" s="620" t="e">
        <f>"€"&amp;FIXED(Reglement!H102,2)</f>
        <v>#VALUE!</v>
      </c>
      <c r="R108" s="371" t="s">
        <v>1174</v>
      </c>
    </row>
    <row r="109" spans="2:20" hidden="1" x14ac:dyDescent="0.25">
      <c r="B109" s="79"/>
      <c r="C109" s="81"/>
      <c r="D109" s="81"/>
      <c r="E109" s="81"/>
      <c r="F109" s="81"/>
      <c r="G109" s="81"/>
      <c r="H109" s="81"/>
      <c r="I109" s="81"/>
      <c r="J109" s="81"/>
      <c r="K109" s="81"/>
      <c r="L109" s="81"/>
      <c r="M109" s="81"/>
      <c r="N109" s="81"/>
      <c r="O109" s="83"/>
      <c r="P109" s="79"/>
      <c r="Q109" s="81"/>
      <c r="R109" s="83"/>
    </row>
  </sheetData>
  <sheetProtection algorithmName="SHA-512" hashValue="5XlEgBEYka7AOkQn/m/5jhAuD8/TYdnqjGZsynp2krN1F6Ki0damgxsd/LpyJXBVwndVMeAL5/N4zWwvLdgBdg==" saltValue="8cqLwVQ1IMlD1dfpQDncng==" spinCount="100000" sheet="1" objects="1" scenarios="1" selectLockedCells="1" selectUnlockedCells="1"/>
  <mergeCells count="11">
    <mergeCell ref="C97:D97"/>
    <mergeCell ref="S2:W4"/>
    <mergeCell ref="Q40:R44"/>
    <mergeCell ref="C2:N2"/>
    <mergeCell ref="N93:O93"/>
    <mergeCell ref="N91:O91"/>
    <mergeCell ref="C92:E92"/>
    <mergeCell ref="F92:M92"/>
    <mergeCell ref="N92:O92"/>
    <mergeCell ref="C93:E93"/>
    <mergeCell ref="F93:M93"/>
  </mergeCells>
  <conditionalFormatting sqref="B2:O87">
    <cfRule type="expression" dxfId="76" priority="8133">
      <formula>$Q$5=0</formula>
    </cfRule>
  </conditionalFormatting>
  <conditionalFormatting sqref="C2:N2">
    <cfRule type="expression" dxfId="75" priority="8">
      <formula>$P$91=0</formula>
    </cfRule>
    <cfRule type="expression" dxfId="74" priority="8134">
      <formula>AND($N$91=0,$P$91=1)</formula>
    </cfRule>
  </conditionalFormatting>
  <conditionalFormatting sqref="D3 M3 D5 D86 M86">
    <cfRule type="expression" dxfId="73" priority="8139">
      <formula>$A$1="A255255255"</formula>
    </cfRule>
    <cfRule type="expression" dxfId="72" priority="8140">
      <formula>$A$1="A000000000"</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ignoredErrors>
    <ignoredError sqref="A1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1">
    <tabColor rgb="FF0050A0"/>
  </sheetPr>
  <dimension ref="A1:BG90"/>
  <sheetViews>
    <sheetView showRowColHeaders="0" tabSelected="1" zoomScaleNormal="100" workbookViewId="0">
      <selection activeCell="F6" sqref="F6:L6"/>
    </sheetView>
  </sheetViews>
  <sheetFormatPr defaultColWidth="9.140625" defaultRowHeight="15" x14ac:dyDescent="0.25"/>
  <cols>
    <col min="1" max="4" width="2.7109375" style="44" customWidth="1"/>
    <col min="5" max="5" width="6.7109375" style="44" customWidth="1"/>
    <col min="6" max="6" width="4.7109375" style="44" customWidth="1"/>
    <col min="7" max="7" width="11.7109375" style="44" customWidth="1"/>
    <col min="8" max="8" width="2.7109375" style="44" customWidth="1"/>
    <col min="9" max="9" width="11.7109375" style="44" customWidth="1"/>
    <col min="10" max="10" width="3.28515625" style="44" customWidth="1"/>
    <col min="11" max="11" width="2.7109375" style="44" customWidth="1"/>
    <col min="12" max="12" width="3.28515625" style="44" customWidth="1"/>
    <col min="13" max="14" width="2.7109375" style="44" customWidth="1"/>
    <col min="15" max="15" width="6.7109375" style="44" customWidth="1"/>
    <col min="16" max="16" width="4.7109375" style="44" customWidth="1"/>
    <col min="17" max="17" width="11.7109375" style="44" customWidth="1"/>
    <col min="18" max="18" width="2.7109375" style="44" customWidth="1"/>
    <col min="19" max="19" width="11.7109375" style="44" customWidth="1"/>
    <col min="20" max="20" width="3.28515625" style="44" customWidth="1"/>
    <col min="21" max="21" width="2.7109375" style="44" customWidth="1"/>
    <col min="22" max="22" width="3.28515625" style="44" customWidth="1"/>
    <col min="23" max="24" width="2.7109375" style="44" customWidth="1"/>
    <col min="25" max="30" width="12.7109375" style="44" hidden="1" customWidth="1"/>
    <col min="31" max="33" width="12.7109375" style="47" hidden="1" customWidth="1"/>
    <col min="34" max="35" width="3.7109375" style="47" hidden="1" customWidth="1"/>
    <col min="36" max="36" width="16.7109375" style="44" hidden="1" customWidth="1"/>
    <col min="37" max="37" width="3.7109375" style="44" hidden="1" customWidth="1"/>
    <col min="38" max="44" width="3.7109375" style="47" hidden="1" customWidth="1"/>
    <col min="45" max="48" width="3.7109375" style="44" hidden="1" customWidth="1"/>
    <col min="49" max="51" width="4.7109375" style="44" hidden="1" customWidth="1"/>
    <col min="52" max="52" width="18.7109375" style="44" hidden="1" customWidth="1"/>
    <col min="53" max="53" width="3.7109375" style="44"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B2" s="17"/>
      <c r="C2" s="17"/>
      <c r="D2" s="17"/>
      <c r="E2" s="17"/>
      <c r="F2" s="17"/>
      <c r="G2" s="17"/>
      <c r="H2" s="17"/>
      <c r="I2" s="17"/>
      <c r="J2" s="17"/>
      <c r="K2" s="17"/>
      <c r="L2" s="17"/>
      <c r="M2" s="17"/>
      <c r="N2" s="17"/>
      <c r="O2" s="17"/>
      <c r="P2" s="17"/>
      <c r="Q2" s="17"/>
      <c r="R2" s="17"/>
      <c r="S2" s="17"/>
      <c r="T2" s="17"/>
      <c r="U2" s="17"/>
      <c r="V2" s="17"/>
      <c r="W2" s="17"/>
      <c r="X2" s="17"/>
      <c r="Y2" s="1124" t="s">
        <v>192</v>
      </c>
      <c r="Z2" s="1124"/>
      <c r="AA2" s="3"/>
      <c r="AB2" s="3"/>
      <c r="AC2" s="3"/>
      <c r="AD2" s="3"/>
      <c r="AE2" s="117"/>
      <c r="AF2" s="117"/>
      <c r="AG2" s="117"/>
      <c r="AH2" s="168"/>
      <c r="AI2" s="168"/>
      <c r="AJ2" s="168"/>
      <c r="AK2" s="168"/>
      <c r="AL2" s="168"/>
      <c r="AM2" s="168"/>
      <c r="AN2" s="168"/>
      <c r="AO2" s="168"/>
      <c r="AP2" s="168"/>
      <c r="AQ2" s="168"/>
      <c r="AR2" s="168"/>
      <c r="AS2" s="168"/>
      <c r="AT2" s="168"/>
      <c r="AU2" s="168"/>
      <c r="AV2" s="168"/>
      <c r="AW2" s="168"/>
      <c r="AX2" s="168"/>
      <c r="AY2" s="168"/>
      <c r="AZ2" s="401" t="s">
        <v>426</v>
      </c>
      <c r="BA2" s="168"/>
      <c r="BC2" s="1033" t="str">
        <f ca="1">Taal01!$B$39</f>
        <v>Groepswedstrijden</v>
      </c>
      <c r="BD2" s="1033"/>
      <c r="BE2" s="1033"/>
      <c r="BF2" s="1033"/>
      <c r="BG2" s="1033"/>
    </row>
    <row r="3" spans="1:59" ht="15" customHeight="1" x14ac:dyDescent="0.4">
      <c r="B3" s="17"/>
      <c r="C3" s="974"/>
      <c r="D3" s="988" t="str">
        <f ca="1">Taal04!B7&amp;" - "&amp;Taal04!B8</f>
        <v>Excel Deelname Formulier - Groepswedstrijden</v>
      </c>
      <c r="E3" s="976"/>
      <c r="F3" s="976"/>
      <c r="G3" s="976"/>
      <c r="H3" s="976"/>
      <c r="I3" s="976"/>
      <c r="J3" s="976"/>
      <c r="K3" s="976"/>
      <c r="L3" s="976"/>
      <c r="M3" s="976"/>
      <c r="N3" s="976"/>
      <c r="O3" s="976"/>
      <c r="P3" s="976"/>
      <c r="Q3" s="976"/>
      <c r="R3" s="976"/>
      <c r="S3" s="976"/>
      <c r="T3" s="976"/>
      <c r="U3" s="976"/>
      <c r="V3" s="984" t="str">
        <f ca="1">IF(Reglement!M3="","",Reglement!M3)</f>
        <v>EURO 2024: Jamilo EK-pool</v>
      </c>
      <c r="W3" s="978"/>
      <c r="X3" s="17"/>
      <c r="Y3" s="1124"/>
      <c r="Z3" s="1124"/>
      <c r="AA3" s="3"/>
      <c r="AB3" s="3"/>
      <c r="AC3" s="3"/>
      <c r="AD3" s="3"/>
      <c r="AE3" s="117"/>
      <c r="AF3" s="117"/>
      <c r="AG3" s="117"/>
      <c r="AH3" s="168"/>
      <c r="AI3" s="168"/>
      <c r="AJ3" s="1118" t="s">
        <v>206</v>
      </c>
      <c r="AK3" s="1118"/>
      <c r="AL3" s="1118"/>
      <c r="AM3" s="1118"/>
      <c r="AN3" s="1118"/>
      <c r="AO3" s="1118"/>
      <c r="AP3" s="1118"/>
      <c r="AQ3" s="1118"/>
      <c r="AR3" s="1118"/>
      <c r="AS3" s="1118"/>
      <c r="AT3" s="1118"/>
      <c r="AU3" s="1118"/>
      <c r="AV3" s="1118"/>
      <c r="AW3" s="1118"/>
      <c r="AX3" s="1118"/>
      <c r="AY3" s="1118"/>
      <c r="AZ3" s="401" t="s">
        <v>427</v>
      </c>
      <c r="BA3" s="400"/>
      <c r="BC3" s="1033"/>
      <c r="BD3" s="1033"/>
      <c r="BE3" s="1033"/>
      <c r="BF3" s="1033"/>
      <c r="BG3" s="1033"/>
    </row>
    <row r="4" spans="1:59" ht="15" customHeight="1" x14ac:dyDescent="0.4">
      <c r="B4" s="17"/>
      <c r="C4" s="17"/>
      <c r="D4" s="17"/>
      <c r="E4" s="17"/>
      <c r="F4" s="17"/>
      <c r="G4" s="17"/>
      <c r="H4" s="17"/>
      <c r="I4" s="17"/>
      <c r="J4" s="17"/>
      <c r="K4" s="17"/>
      <c r="L4" s="17"/>
      <c r="M4" s="17"/>
      <c r="N4" s="17"/>
      <c r="O4" s="17"/>
      <c r="P4" s="17"/>
      <c r="Q4" s="17"/>
      <c r="R4" s="17"/>
      <c r="S4" s="17"/>
      <c r="T4" s="17"/>
      <c r="U4" s="17"/>
      <c r="V4" s="17"/>
      <c r="W4" s="17"/>
      <c r="X4" s="17"/>
      <c r="Y4" s="3"/>
      <c r="Z4" s="97" t="s">
        <v>191</v>
      </c>
      <c r="AA4" s="3" t="str">
        <f>SUBSTITUTE(F6," ","#*")</f>
        <v>Eric#*Martens#*(Bisbee)</v>
      </c>
      <c r="AB4" s="3"/>
      <c r="AC4" s="117" t="s">
        <v>190</v>
      </c>
      <c r="AD4" s="117" t="s">
        <v>0</v>
      </c>
      <c r="AE4" s="117" t="s">
        <v>189</v>
      </c>
      <c r="AF4" s="117"/>
      <c r="AG4" s="117"/>
      <c r="AH4" s="168"/>
      <c r="AI4" s="168"/>
      <c r="AJ4" s="1118"/>
      <c r="AK4" s="1118"/>
      <c r="AL4" s="1118"/>
      <c r="AM4" s="1118"/>
      <c r="AN4" s="1118"/>
      <c r="AO4" s="1118"/>
      <c r="AP4" s="1118"/>
      <c r="AQ4" s="1118"/>
      <c r="AR4" s="1118"/>
      <c r="AS4" s="1118"/>
      <c r="AT4" s="1118"/>
      <c r="AU4" s="1118"/>
      <c r="AV4" s="1118"/>
      <c r="AW4" s="1118"/>
      <c r="AX4" s="1118"/>
      <c r="AY4" s="1118"/>
      <c r="AZ4" s="401" t="s">
        <v>428</v>
      </c>
      <c r="BA4" s="400"/>
      <c r="BC4" s="1033"/>
      <c r="BD4" s="1033"/>
      <c r="BE4" s="1033"/>
      <c r="BF4" s="1033"/>
      <c r="BG4" s="1033"/>
    </row>
    <row r="5" spans="1:59" ht="15" customHeight="1" x14ac:dyDescent="0.25">
      <c r="B5" s="17"/>
      <c r="C5" s="947"/>
      <c r="D5" s="16"/>
      <c r="E5" s="16"/>
      <c r="F5" s="16"/>
      <c r="G5" s="16"/>
      <c r="H5" s="16"/>
      <c r="I5" s="16"/>
      <c r="J5" s="16"/>
      <c r="K5" s="16"/>
      <c r="L5" s="16"/>
      <c r="M5" s="16"/>
      <c r="N5" s="16"/>
      <c r="O5" s="16"/>
      <c r="P5" s="16"/>
      <c r="Q5" s="16"/>
      <c r="R5" s="16"/>
      <c r="S5" s="16"/>
      <c r="T5" s="16"/>
      <c r="U5" s="16"/>
      <c r="V5" s="16"/>
      <c r="W5" s="948"/>
      <c r="X5" s="17"/>
      <c r="Y5" s="3"/>
      <c r="Z5" s="97" t="s">
        <v>188</v>
      </c>
      <c r="AA5" s="102">
        <f>IF(LEN(AA4)&lt;10,LEN(AA4)&amp;"#",LEN(AA4))</f>
        <v>23</v>
      </c>
      <c r="AB5" s="3"/>
      <c r="AC5" s="117" t="str">
        <f>AA7</f>
        <v>GOED</v>
      </c>
      <c r="AD5" s="117" t="str">
        <f>IF(AC5="GOED",AA6,"FOUT")</f>
        <v>|Eric#*Martens#*(Bisbee)23</v>
      </c>
      <c r="AE5" s="117">
        <f>LEN(AD5)</f>
        <v>26</v>
      </c>
      <c r="AF5" s="117"/>
      <c r="AG5" s="117"/>
      <c r="AH5" s="168"/>
      <c r="AI5" s="168"/>
      <c r="AJ5" s="490" t="s">
        <v>458</v>
      </c>
      <c r="AK5" s="167"/>
      <c r="AL5" s="168"/>
      <c r="AM5" s="168"/>
      <c r="AN5" s="168"/>
      <c r="AO5" s="168"/>
      <c r="AP5" s="169"/>
      <c r="AQ5" s="169"/>
      <c r="AR5" s="169"/>
      <c r="AS5" s="167"/>
      <c r="AT5" s="167"/>
      <c r="AU5" s="167"/>
      <c r="AV5" s="167"/>
      <c r="AW5" s="167"/>
      <c r="AX5" s="167"/>
      <c r="AY5" s="182"/>
      <c r="AZ5" s="402" t="s">
        <v>429</v>
      </c>
      <c r="BA5" s="70"/>
    </row>
    <row r="6" spans="1:59" ht="15" customHeight="1" x14ac:dyDescent="0.25">
      <c r="B6" s="17"/>
      <c r="C6" s="949"/>
      <c r="D6" s="1138" t="str">
        <f ca="1">Taal04!B14&amp;" :"</f>
        <v>Naam :</v>
      </c>
      <c r="E6" s="1138"/>
      <c r="F6" s="1139" t="s">
        <v>2501</v>
      </c>
      <c r="G6" s="1139"/>
      <c r="H6" s="1139"/>
      <c r="I6" s="1139"/>
      <c r="J6" s="1139"/>
      <c r="K6" s="1139"/>
      <c r="L6" s="1139"/>
      <c r="M6" s="926"/>
      <c r="N6" s="1138" t="str">
        <f ca="1">Taal04!B15&amp;" :"</f>
        <v>E-mail :</v>
      </c>
      <c r="O6" s="1138"/>
      <c r="P6" s="1140" t="s">
        <v>2500</v>
      </c>
      <c r="Q6" s="1141"/>
      <c r="R6" s="1141"/>
      <c r="S6" s="1141"/>
      <c r="T6" s="1141"/>
      <c r="U6" s="1141"/>
      <c r="V6" s="1141"/>
      <c r="W6" s="60"/>
      <c r="X6" s="17"/>
      <c r="Y6" s="117"/>
      <c r="Z6" s="97" t="s">
        <v>187</v>
      </c>
      <c r="AA6" s="1125" t="str">
        <f>"|"&amp;AA4&amp;AA5</f>
        <v>|Eric#*Martens#*(Bisbee)23</v>
      </c>
      <c r="AB6" s="1126"/>
      <c r="AC6" s="1126"/>
      <c r="AD6" s="1126"/>
      <c r="AE6" s="1127"/>
      <c r="AF6" s="117"/>
      <c r="AG6" s="117"/>
      <c r="AH6" s="168"/>
      <c r="AI6" s="168"/>
      <c r="AJ6" s="404"/>
      <c r="AK6" s="205"/>
      <c r="AL6" s="205"/>
      <c r="AM6" s="205"/>
      <c r="AN6" s="205"/>
      <c r="AO6" s="205"/>
      <c r="AP6" s="205"/>
      <c r="AQ6" s="205"/>
      <c r="AR6" s="205"/>
      <c r="AS6" s="205"/>
      <c r="AT6" s="205"/>
      <c r="AU6" s="205"/>
      <c r="AV6" s="205"/>
      <c r="AW6" s="205"/>
      <c r="AX6" s="182"/>
      <c r="AY6" s="182"/>
      <c r="AZ6" s="182" t="s">
        <v>430</v>
      </c>
      <c r="BA6" s="70"/>
    </row>
    <row r="7" spans="1:59" ht="15" customHeight="1" x14ac:dyDescent="0.25">
      <c r="B7" s="17"/>
      <c r="C7" s="950"/>
      <c r="D7" s="330"/>
      <c r="E7" s="330"/>
      <c r="F7" s="330"/>
      <c r="G7" s="330"/>
      <c r="H7" s="330"/>
      <c r="I7" s="330"/>
      <c r="J7" s="330"/>
      <c r="K7" s="330"/>
      <c r="L7" s="508" t="str">
        <f ca="1">SUBSTITUTE(Taal04!B16,"##","32")</f>
        <v>(maximaal 32 tekens)</v>
      </c>
      <c r="M7" s="330"/>
      <c r="N7" s="335"/>
      <c r="O7" s="515" t="str">
        <f>IF(AND(AD21=1,AA83="NEE"),"└ e-mailadres is optioneel","")</f>
        <v/>
      </c>
      <c r="P7" s="509"/>
      <c r="Q7" s="335"/>
      <c r="R7" s="335"/>
      <c r="S7" s="335"/>
      <c r="T7" s="335"/>
      <c r="U7" s="335"/>
      <c r="V7" s="508" t="str">
        <f ca="1">SUBSTITUTE(Taal04!B16,"##","64")</f>
        <v>(maximaal 64 tekens)</v>
      </c>
      <c r="W7" s="952"/>
      <c r="X7" s="17"/>
      <c r="Y7" s="3"/>
      <c r="Z7" s="97" t="s">
        <v>186</v>
      </c>
      <c r="AA7" s="3" t="str">
        <f>IF(ISBLANK(F6)=TRUE,"LEEG",IF(LEN(F6)&gt;32,"LANG","GOED"))</f>
        <v>GOED</v>
      </c>
      <c r="AB7" s="3"/>
      <c r="AC7" s="3"/>
      <c r="AD7" s="3"/>
      <c r="AE7" s="117"/>
      <c r="AF7" s="117"/>
      <c r="AG7" s="117"/>
      <c r="AH7" s="168"/>
      <c r="AI7" s="168"/>
      <c r="AJ7" s="70"/>
      <c r="AK7" s="205"/>
      <c r="AL7" s="205"/>
      <c r="AM7" s="205"/>
      <c r="AN7" s="205"/>
      <c r="AO7" s="205"/>
      <c r="AP7" s="205"/>
      <c r="AQ7" s="205"/>
      <c r="AR7" s="205"/>
      <c r="AS7" s="205"/>
      <c r="AT7" s="205"/>
      <c r="AU7" s="205"/>
      <c r="AV7" s="205"/>
      <c r="AW7" s="205"/>
      <c r="AX7" s="182"/>
      <c r="AY7" s="182"/>
      <c r="AZ7" s="182" t="s">
        <v>431</v>
      </c>
      <c r="BA7" s="70"/>
    </row>
    <row r="8" spans="1:59" ht="15" customHeight="1" x14ac:dyDescent="0.25">
      <c r="B8" s="17"/>
      <c r="C8" s="17"/>
      <c r="D8" s="17"/>
      <c r="E8" s="17"/>
      <c r="F8" s="17"/>
      <c r="G8" s="17"/>
      <c r="H8" s="17"/>
      <c r="I8" s="17"/>
      <c r="J8" s="17"/>
      <c r="K8" s="17"/>
      <c r="L8" s="17"/>
      <c r="M8" s="17"/>
      <c r="N8" s="17"/>
      <c r="O8" s="17"/>
      <c r="P8" s="17"/>
      <c r="Q8" s="17"/>
      <c r="R8" s="17"/>
      <c r="S8" s="17"/>
      <c r="T8" s="17"/>
      <c r="U8" s="17"/>
      <c r="V8" s="17"/>
      <c r="W8" s="17"/>
      <c r="X8" s="17"/>
      <c r="Y8" s="3"/>
      <c r="Z8" s="97"/>
      <c r="AA8" s="3"/>
      <c r="AB8" s="3"/>
      <c r="AC8" s="3"/>
      <c r="AD8" s="3"/>
      <c r="AE8" s="117"/>
      <c r="AF8" s="117"/>
      <c r="AG8" s="117"/>
      <c r="AH8" s="168"/>
      <c r="AI8" s="168"/>
      <c r="AJ8" s="70"/>
      <c r="AK8" s="1116" t="s">
        <v>175</v>
      </c>
      <c r="AL8" s="1116" t="str">
        <f ca="1">AJ12</f>
        <v>Duitsland</v>
      </c>
      <c r="AM8" s="1116" t="str">
        <f ca="1">AJ13</f>
        <v>Schotland</v>
      </c>
      <c r="AN8" s="1116" t="str">
        <f ca="1">AJ14</f>
        <v>Hongarije</v>
      </c>
      <c r="AO8" s="1116" t="str">
        <f ca="1">AJ15</f>
        <v>Zwitserland</v>
      </c>
      <c r="AP8" s="1115" t="s">
        <v>98</v>
      </c>
      <c r="AQ8" s="1116" t="s">
        <v>174</v>
      </c>
      <c r="AR8" s="1116" t="s">
        <v>173</v>
      </c>
      <c r="AS8" s="1115" t="str">
        <f ca="1">"Gelijk met "&amp;AH12</f>
        <v>Gelijk met A1</v>
      </c>
      <c r="AT8" s="1115" t="str">
        <f ca="1">"Gelijk met "&amp;AH13</f>
        <v>Gelijk met A2</v>
      </c>
      <c r="AU8" s="1115" t="str">
        <f ca="1">"Gelijk met "&amp;AH14</f>
        <v>Gelijk met A3</v>
      </c>
      <c r="AV8" s="1115" t="str">
        <f ca="1">"Gelijk met "&amp;AH15</f>
        <v>Gelijk met A4</v>
      </c>
      <c r="AW8" s="1115" t="s">
        <v>98</v>
      </c>
      <c r="AX8" s="1115" t="s">
        <v>174</v>
      </c>
      <c r="AY8" s="1115" t="s">
        <v>173</v>
      </c>
      <c r="AZ8" s="1115" t="s">
        <v>231</v>
      </c>
      <c r="BA8" s="1115" t="s">
        <v>73</v>
      </c>
    </row>
    <row r="9" spans="1:59" ht="15" customHeight="1" x14ac:dyDescent="0.25">
      <c r="B9" s="17"/>
      <c r="C9" s="974"/>
      <c r="D9" s="989" t="str">
        <f ca="1">Taal04!B41</f>
        <v>Toelichting bij het Invullen</v>
      </c>
      <c r="E9" s="976"/>
      <c r="F9" s="976"/>
      <c r="G9" s="976"/>
      <c r="H9" s="976"/>
      <c r="I9" s="976"/>
      <c r="J9" s="976"/>
      <c r="K9" s="976"/>
      <c r="L9" s="976"/>
      <c r="M9" s="976"/>
      <c r="N9" s="976"/>
      <c r="O9" s="976"/>
      <c r="P9" s="976"/>
      <c r="Q9" s="976"/>
      <c r="R9" s="976"/>
      <c r="S9" s="976"/>
      <c r="T9" s="976"/>
      <c r="U9" s="976"/>
      <c r="V9" s="976"/>
      <c r="W9" s="978"/>
      <c r="X9" s="17"/>
      <c r="Y9" s="1121" t="s">
        <v>184</v>
      </c>
      <c r="Z9" s="1121"/>
      <c r="AA9" s="1121"/>
      <c r="AB9" s="1121"/>
      <c r="AC9" s="1121"/>
      <c r="AD9" s="1121"/>
      <c r="AE9" s="41"/>
      <c r="AF9" s="1123" t="s">
        <v>183</v>
      </c>
      <c r="AG9" s="1123"/>
      <c r="AH9" s="168"/>
      <c r="AI9" s="168"/>
      <c r="AJ9" s="70"/>
      <c r="AK9" s="1116"/>
      <c r="AL9" s="1116"/>
      <c r="AM9" s="1116"/>
      <c r="AN9" s="1116"/>
      <c r="AO9" s="1116"/>
      <c r="AP9" s="1115"/>
      <c r="AQ9" s="1116"/>
      <c r="AR9" s="1116"/>
      <c r="AS9" s="1115"/>
      <c r="AT9" s="1115"/>
      <c r="AU9" s="1115"/>
      <c r="AV9" s="1115"/>
      <c r="AW9" s="1115"/>
      <c r="AX9" s="1115"/>
      <c r="AY9" s="1115"/>
      <c r="AZ9" s="1115"/>
      <c r="BA9" s="1115"/>
    </row>
    <row r="10" spans="1:59" ht="15" customHeight="1" x14ac:dyDescent="0.25">
      <c r="B10" s="17"/>
      <c r="C10" s="383"/>
      <c r="D10" s="15"/>
      <c r="E10" s="15"/>
      <c r="F10" s="15"/>
      <c r="G10" s="15"/>
      <c r="H10" s="15"/>
      <c r="I10" s="15"/>
      <c r="J10" s="15"/>
      <c r="K10" s="15"/>
      <c r="L10" s="15"/>
      <c r="M10" s="15"/>
      <c r="N10" s="15"/>
      <c r="O10" s="15"/>
      <c r="P10" s="15"/>
      <c r="Q10" s="15"/>
      <c r="R10" s="15"/>
      <c r="S10" s="15"/>
      <c r="T10" s="15"/>
      <c r="U10" s="15"/>
      <c r="V10" s="15"/>
      <c r="W10" s="367"/>
      <c r="X10" s="17"/>
      <c r="Y10" s="1122"/>
      <c r="Z10" s="1122"/>
      <c r="AA10" s="1122"/>
      <c r="AB10" s="1122"/>
      <c r="AC10" s="1122"/>
      <c r="AD10" s="1122"/>
      <c r="AE10" s="41"/>
      <c r="AF10" s="1123" t="s">
        <v>182</v>
      </c>
      <c r="AG10" s="1123"/>
      <c r="AH10" s="168"/>
      <c r="AI10" s="168"/>
      <c r="AJ10" s="161" t="str">
        <f ca="1">D23</f>
        <v>Groep A</v>
      </c>
      <c r="AK10" s="1116"/>
      <c r="AL10" s="1116"/>
      <c r="AM10" s="1116"/>
      <c r="AN10" s="1116"/>
      <c r="AO10" s="1116"/>
      <c r="AP10" s="1115"/>
      <c r="AQ10" s="1116"/>
      <c r="AR10" s="1116"/>
      <c r="AS10" s="1115"/>
      <c r="AT10" s="1115"/>
      <c r="AU10" s="1115"/>
      <c r="AV10" s="1115"/>
      <c r="AW10" s="1115"/>
      <c r="AX10" s="1115"/>
      <c r="AY10" s="1115"/>
      <c r="AZ10" s="1115"/>
      <c r="BA10" s="1115"/>
    </row>
    <row r="11" spans="1:59" ht="15" customHeight="1" x14ac:dyDescent="0.25">
      <c r="B11" s="17"/>
      <c r="C11" s="383"/>
      <c r="D11" s="1128" t="str">
        <f ca="1">Taal04!B42</f>
        <v>Het is niet mogelijk om uitslagen te voorspellen waarin één land meer dan 9 doelpunten maakt. Wanneer een land toch meer dan 9 doelpunten maakt tijdens één wedstrijd zal bij de uitslag 9 doelpunten genoteerd worden.</v>
      </c>
      <c r="E11" s="1128"/>
      <c r="F11" s="1128"/>
      <c r="G11" s="1128"/>
      <c r="H11" s="1128"/>
      <c r="I11" s="1128"/>
      <c r="J11" s="1128"/>
      <c r="K11" s="1128"/>
      <c r="L11" s="1128"/>
      <c r="M11" s="1128"/>
      <c r="N11" s="1128"/>
      <c r="O11" s="1128"/>
      <c r="P11" s="1128"/>
      <c r="Q11" s="1128"/>
      <c r="R11" s="1128"/>
      <c r="S11" s="1128"/>
      <c r="T11" s="1128"/>
      <c r="U11" s="1128"/>
      <c r="V11" s="1128"/>
      <c r="W11" s="367"/>
      <c r="X11" s="17"/>
      <c r="Y11" s="1129" t="str">
        <f ca="1">"|"&amp;AG11&amp;AG12&amp;AG13&amp;AG14&amp;AG15&amp;AG16&amp;AG17&amp;AG18&amp;AG19&amp;AG20&amp;AG21&amp;AG22&amp;AG23&amp;AG24&amp;AG25&amp;AG26&amp;AG27&amp;AG28&amp;AG29&amp;AG30&amp;AG31&amp;AG32&amp;AG33&amp;AG34&amp;AG35&amp;AG36&amp;AG37&amp;AG38&amp;AG39&amp;AG40&amp;AG41&amp;AG42&amp;AG43&amp;AG44&amp;AG45&amp;AG46&amp;IF($A$53="H","",AG47&amp;AG48&amp;AG49&amp;AG50&amp;AG51&amp;AG52&amp;AG53&amp;AG54&amp;AG55&amp;AG56&amp;AG57&amp;AG58)</f>
        <v>|20|11|22|21|02|01|13|01|21|02|21|30|20|21|01|12|21|21|00|12|12|12|12|30|12|02|03|10|20|20|40|11|21|12|02|23|</v>
      </c>
      <c r="Z11" s="1130"/>
      <c r="AA11" s="1130"/>
      <c r="AB11" s="1130"/>
      <c r="AC11" s="1130"/>
      <c r="AD11" s="1131"/>
      <c r="AE11" s="41"/>
      <c r="AF11" s="831" t="s">
        <v>261</v>
      </c>
      <c r="AG11" s="106" t="str">
        <f>IF(TYPE(VLOOKUP(AF11,$D$25:$D$60,1,FALSE)*1)=1,VLOOKUP(AF11,$D$25:$AA$60,24,FALSE),IF(TYPE(VLOOKUP(AF11,$N$25:$N$60,1,FALSE)*1)=1,VLOOKUP(AF11,$N$25:$AD$60,17,FALSE),"ERROR"))</f>
        <v>20|</v>
      </c>
      <c r="AH11" s="168"/>
      <c r="AI11" s="168"/>
      <c r="AJ11" s="70" t="s">
        <v>17</v>
      </c>
      <c r="AK11" s="1116"/>
      <c r="AL11" s="1116"/>
      <c r="AM11" s="1116"/>
      <c r="AN11" s="1116"/>
      <c r="AO11" s="1116"/>
      <c r="AP11" s="1115"/>
      <c r="AQ11" s="1116"/>
      <c r="AR11" s="1116"/>
      <c r="AS11" s="1115"/>
      <c r="AT11" s="1115"/>
      <c r="AU11" s="1115"/>
      <c r="AV11" s="1115"/>
      <c r="AW11" s="1115"/>
      <c r="AX11" s="1115"/>
      <c r="AY11" s="1115"/>
      <c r="AZ11" s="1115"/>
      <c r="BA11" s="1115"/>
    </row>
    <row r="12" spans="1:59" ht="15" customHeight="1" x14ac:dyDescent="0.25">
      <c r="B12" s="17"/>
      <c r="C12" s="383"/>
      <c r="D12" s="1128"/>
      <c r="E12" s="1128"/>
      <c r="F12" s="1128"/>
      <c r="G12" s="1128"/>
      <c r="H12" s="1128"/>
      <c r="I12" s="1128"/>
      <c r="J12" s="1128"/>
      <c r="K12" s="1128"/>
      <c r="L12" s="1128"/>
      <c r="M12" s="1128"/>
      <c r="N12" s="1128"/>
      <c r="O12" s="1128"/>
      <c r="P12" s="1128"/>
      <c r="Q12" s="1128"/>
      <c r="R12" s="1128"/>
      <c r="S12" s="1128"/>
      <c r="T12" s="1128"/>
      <c r="U12" s="1128"/>
      <c r="V12" s="1128"/>
      <c r="W12" s="367"/>
      <c r="X12" s="17"/>
      <c r="Y12" s="1132"/>
      <c r="Z12" s="1133"/>
      <c r="AA12" s="1133"/>
      <c r="AB12" s="1133"/>
      <c r="AC12" s="1133"/>
      <c r="AD12" s="1134"/>
      <c r="AE12" s="41"/>
      <c r="AF12" s="831" t="s">
        <v>262</v>
      </c>
      <c r="AG12" s="106" t="str">
        <f t="shared" ref="AG12:AG58" si="0">IF(TYPE(VLOOKUP(AF12,$D$25:$D$60,1,FALSE)*1)=1,VLOOKUP(AF12,$D$25:$AA$60,24,FALSE),IF(TYPE(VLOOKUP(AF12,$N$25:$N$60,1,FALSE)*1)=1,VLOOKUP(AF12,$N$25:$AD$60,17,FALSE),"ERROR"))</f>
        <v>11|</v>
      </c>
      <c r="AH12" s="171" t="str">
        <f ca="1">RIGHT(AJ10,1)&amp;1</f>
        <v>A1</v>
      </c>
      <c r="AI12" s="168">
        <f ca="1">$AU$83</f>
        <v>1</v>
      </c>
      <c r="AJ12" s="160" t="str">
        <f ca="1">VLOOKUP(AH12,Voorblad!$X$67:$Z$98,2,FALSE)</f>
        <v>Duitsland</v>
      </c>
      <c r="AK12" s="159" t="str">
        <f ca="1">VLOOKUP(AH12,Voorblad!$X$67:$Z$98,3,FALSE)</f>
        <v>DE</v>
      </c>
      <c r="AL12" s="203">
        <v>0</v>
      </c>
      <c r="AM12" s="206">
        <f>IF(ISNUMBER(J25),J25,0)</f>
        <v>2</v>
      </c>
      <c r="AN12" s="206">
        <f>IF(ISNUMBER(J27),J27,0)</f>
        <v>2</v>
      </c>
      <c r="AO12" s="206">
        <f>IF(ISNUMBER(L29),L29,0)</f>
        <v>2</v>
      </c>
      <c r="AP12" s="155">
        <f>IF(AA25&lt;&gt;"FOUT",IF(AM12&gt;AL13,3,IF(AM12=AL13,1,0)),0)+IF(AA27&lt;&gt;"FOUT",IF(AN12&gt;AL14,3,IF(AN12=AL14,1,0)),0)+IF(AA29&lt;&gt;"FOUT",IF(AO12&gt;AL15,3,IF(AO12=AL15,1,0)),0)</f>
        <v>9</v>
      </c>
      <c r="AQ12" s="158">
        <f>SUM(AL12:AO12)</f>
        <v>6</v>
      </c>
      <c r="AR12" s="157">
        <f>SUM(AL12:AL15)</f>
        <v>2</v>
      </c>
      <c r="AS12" s="203">
        <v>0</v>
      </c>
      <c r="AT12" s="156">
        <f>IF($AP12=$AP13,AM12,0)</f>
        <v>0</v>
      </c>
      <c r="AU12" s="156">
        <f>IF($AP12=$AP14,AN12,0)</f>
        <v>0</v>
      </c>
      <c r="AV12" s="199">
        <f>IF($AP12=$AP15,AO12,0)</f>
        <v>0</v>
      </c>
      <c r="AW12" s="155">
        <f>IF(AT12&gt;AS13,3,IF(AT12=AS13,1,0))+IF(AU12&gt;AS14,3,IF(AU12=AS14,1,0))+IF(AV12&gt;AS15,3,IF(AV12=AS15,1,0))</f>
        <v>3</v>
      </c>
      <c r="AX12" s="158">
        <f>SUM(AS12:AV12)</f>
        <v>0</v>
      </c>
      <c r="AY12" s="206">
        <f>SUM(AS12:AS15)</f>
        <v>0</v>
      </c>
      <c r="AZ12" s="211">
        <f ca="1">AP12*10000000000000+(500+AQ12-AR12)*10000000000+AQ12*100000000+AW12*1000000+(500+AX12-AY12)*1000+AX12*10+AI12</f>
        <v>95040603500001</v>
      </c>
      <c r="BA12" s="220">
        <f ca="1">RANK(AZ12,AZ12:AZ15)</f>
        <v>1</v>
      </c>
      <c r="BB12" s="403"/>
    </row>
    <row r="13" spans="1:59" ht="15" customHeight="1" x14ac:dyDescent="0.25">
      <c r="B13" s="17"/>
      <c r="C13" s="383"/>
      <c r="D13" s="40"/>
      <c r="E13" s="40"/>
      <c r="F13" s="40"/>
      <c r="G13" s="40"/>
      <c r="H13" s="40"/>
      <c r="I13" s="40"/>
      <c r="J13" s="40"/>
      <c r="K13" s="40"/>
      <c r="L13" s="40"/>
      <c r="M13" s="40"/>
      <c r="N13" s="40"/>
      <c r="O13" s="40"/>
      <c r="P13" s="40"/>
      <c r="Q13" s="40"/>
      <c r="R13" s="40"/>
      <c r="S13" s="40"/>
      <c r="T13" s="40"/>
      <c r="U13" s="40"/>
      <c r="V13" s="40"/>
      <c r="W13" s="367"/>
      <c r="X13" s="17"/>
      <c r="Y13" s="1135"/>
      <c r="Z13" s="1136"/>
      <c r="AA13" s="1136"/>
      <c r="AB13" s="1136"/>
      <c r="AC13" s="1136"/>
      <c r="AD13" s="1137"/>
      <c r="AE13" s="41"/>
      <c r="AF13" s="831" t="s">
        <v>263</v>
      </c>
      <c r="AG13" s="106" t="str">
        <f t="shared" ca="1" si="0"/>
        <v>22|</v>
      </c>
      <c r="AH13" s="171" t="str">
        <f ca="1">RIGHT(AJ10,1)&amp;2</f>
        <v>A2</v>
      </c>
      <c r="AI13" s="168">
        <f ca="1">$AV$83</f>
        <v>3</v>
      </c>
      <c r="AJ13" s="154" t="str">
        <f ca="1">VLOOKUP(AH13,Voorblad!$X$67:$Z$98,2,FALSE)</f>
        <v>Schotland</v>
      </c>
      <c r="AK13" s="110" t="str">
        <f ca="1">VLOOKUP(AH13,Voorblad!$X$67:$Z$98,3,FALSE)</f>
        <v>SC</v>
      </c>
      <c r="AL13" s="207">
        <f>IF(ISNUMBER(L25),L25,0)</f>
        <v>0</v>
      </c>
      <c r="AM13" s="202">
        <v>0</v>
      </c>
      <c r="AN13" s="163">
        <f>IF(ISNUMBER(J30),J30,0)</f>
        <v>0</v>
      </c>
      <c r="AO13" s="163">
        <f>IF(ISNUMBER(J28),J28,0)</f>
        <v>0</v>
      </c>
      <c r="AP13" s="151">
        <f>IF(AA25&lt;&gt;"FOUT",IF(AL13&gt;AM12,3,IF(AL13=AM12,1,0)),0)+IF(AA30&lt;&gt;"FOUT",IF(AN13&gt;AM14,3,IF(AN13=AM14,1,0)),0)+IF(AA28&lt;&gt;"FOUT",IF(AO13&gt;AM15,3,IF(AO13=AM15,1,0)),0)</f>
        <v>0</v>
      </c>
      <c r="AQ13" s="153">
        <f>SUM(AL13:AO13)</f>
        <v>0</v>
      </c>
      <c r="AR13" s="152">
        <f>SUM(AM12:AM15)</f>
        <v>5</v>
      </c>
      <c r="AS13" s="110">
        <f>IF($AP13=$AP12,AL13,0)</f>
        <v>0</v>
      </c>
      <c r="AT13" s="202">
        <v>0</v>
      </c>
      <c r="AU13" s="69">
        <f>IF($AP13=$AP14,AN13,0)</f>
        <v>0</v>
      </c>
      <c r="AV13" s="200">
        <f>IF($AP13=$AP15,AO13,0)</f>
        <v>0</v>
      </c>
      <c r="AW13" s="151">
        <f>IF(AS13&gt;AT12,3,IF(AS13=AT12,1,0))+IF(AU13&gt;AT14,3,IF(AU13=AT14,1,0))+IF(AV13&gt;AT15,3,IF(AV13=AT15,1,0))</f>
        <v>3</v>
      </c>
      <c r="AX13" s="153">
        <f>SUM(AS13:AV13)</f>
        <v>0</v>
      </c>
      <c r="AY13" s="163">
        <f>SUM(AT12:AT15)</f>
        <v>0</v>
      </c>
      <c r="AZ13" s="212">
        <f ca="1">AP13*10000000000000+(500+AQ13-AR13)*10000000000+AQ13*100000000+AW13*1000000+(500+AX13-AY13)*1000+AX13*10+AI13</f>
        <v>4950003500003</v>
      </c>
      <c r="BA13" s="221">
        <f ca="1">RANK(AZ13,AZ12:AZ15)</f>
        <v>4</v>
      </c>
      <c r="BB13" s="403"/>
    </row>
    <row r="14" spans="1:59" ht="15" customHeight="1" x14ac:dyDescent="0.25">
      <c r="B14" s="17"/>
      <c r="C14" s="383"/>
      <c r="D14" s="1119" t="str">
        <f ca="1">Taal04!B44</f>
        <v>De achtergrondkleur van de in te vullen velden geeft de status van het veld aan. Deze status correspondeert met de tabel hier rechts.</v>
      </c>
      <c r="E14" s="1119"/>
      <c r="F14" s="1119"/>
      <c r="G14" s="1119"/>
      <c r="H14" s="1119"/>
      <c r="I14" s="1119"/>
      <c r="J14" s="1119"/>
      <c r="K14" s="1119"/>
      <c r="L14" s="1119"/>
      <c r="M14" s="1119"/>
      <c r="N14" s="1119"/>
      <c r="O14" s="1119"/>
      <c r="P14" s="59"/>
      <c r="Q14" s="19"/>
      <c r="R14" s="18" t="s">
        <v>16</v>
      </c>
      <c r="S14" s="943" t="str">
        <f ca="1">Taal04!B45</f>
        <v>Goed ingevuld</v>
      </c>
      <c r="T14" s="943"/>
      <c r="U14" s="943"/>
      <c r="V14" s="943"/>
      <c r="W14" s="367"/>
      <c r="X14" s="17"/>
      <c r="Y14" s="252"/>
      <c r="Z14" s="252"/>
      <c r="AA14" s="252"/>
      <c r="AB14" s="253"/>
      <c r="AC14" s="254" t="s">
        <v>181</v>
      </c>
      <c r="AD14" s="255">
        <f ca="1">LEN(Y11)</f>
        <v>109</v>
      </c>
      <c r="AE14" s="41"/>
      <c r="AF14" s="831" t="s">
        <v>264</v>
      </c>
      <c r="AG14" s="106" t="str">
        <f t="shared" ca="1" si="0"/>
        <v>21|</v>
      </c>
      <c r="AH14" s="171" t="str">
        <f ca="1">RIGHT(AJ10,1)&amp;3</f>
        <v>A3</v>
      </c>
      <c r="AI14" s="168">
        <f ca="1">$AW$83</f>
        <v>2</v>
      </c>
      <c r="AJ14" s="154" t="str">
        <f ca="1">VLOOKUP(AH14,Voorblad!$X$67:$Z$98,2,FALSE)</f>
        <v>Hongarije</v>
      </c>
      <c r="AK14" s="110" t="str">
        <f ca="1">VLOOKUP(AH14,Voorblad!$X$67:$Z$98,3,FALSE)</f>
        <v>HU</v>
      </c>
      <c r="AL14" s="207">
        <f>IF(ISNUMBER(L27),L27,0)</f>
        <v>1</v>
      </c>
      <c r="AM14" s="163">
        <f>IF(ISNUMBER(L30),L30,0)</f>
        <v>2</v>
      </c>
      <c r="AN14" s="202">
        <v>0</v>
      </c>
      <c r="AO14" s="163">
        <f>IF(ISNUMBER(J26),J26,0)</f>
        <v>1</v>
      </c>
      <c r="AP14" s="151">
        <f>IF(AA27&lt;&gt;"FOUT",IF(AL14&gt;AN12,3,IF(AL14=AN12,1,0)),0)+IF(AA30&lt;&gt;"FOUT",IF(AM14&gt;AN13,3,IF(AM14=AN13,1,0)),0)+IF(AA26&lt;&gt;"FOUT",IF(AO14&gt;AN15,3,IF(AO14=AN15,1,0)),0)</f>
        <v>4</v>
      </c>
      <c r="AQ14" s="153">
        <f>SUM(AL14:AO14)</f>
        <v>4</v>
      </c>
      <c r="AR14" s="152">
        <f>SUM(AN12:AN15)</f>
        <v>3</v>
      </c>
      <c r="AS14" s="110">
        <f>IF($AP14=$AP12,AL14,0)</f>
        <v>0</v>
      </c>
      <c r="AT14" s="69">
        <f>IF($AP14=$AP13,AM14,0)</f>
        <v>0</v>
      </c>
      <c r="AU14" s="202">
        <v>0</v>
      </c>
      <c r="AV14" s="200">
        <f>IF($AP14=$AP15,AO14,0)</f>
        <v>1</v>
      </c>
      <c r="AW14" s="151">
        <f>IF(AS14&gt;AU12,3,IF(AS14=AU12,1,0))+IF(AT14&gt;AU13,3,IF(AT14=AU13,1,0))+IF(AV14&gt;AU15,3,IF(AV14=AU15,1,0))</f>
        <v>3</v>
      </c>
      <c r="AX14" s="153">
        <f>SUM(AS14:AV14)</f>
        <v>1</v>
      </c>
      <c r="AY14" s="163">
        <f>SUM(AU12:AU15)</f>
        <v>1</v>
      </c>
      <c r="AZ14" s="212">
        <f ca="1">AP14*10000000000000+(500+AQ14-AR14)*10000000000+AQ14*100000000+AW14*1000000+(500+AX14-AY14)*1000+AX14*10+AI14</f>
        <v>45010403500012</v>
      </c>
      <c r="BA14" s="221">
        <f ca="1">RANK(AZ14,AZ12:AZ15)</f>
        <v>2</v>
      </c>
      <c r="BB14" s="403"/>
    </row>
    <row r="15" spans="1:59" ht="15" customHeight="1" x14ac:dyDescent="0.25">
      <c r="B15" s="17"/>
      <c r="C15" s="383"/>
      <c r="D15" s="1119"/>
      <c r="E15" s="1119"/>
      <c r="F15" s="1119"/>
      <c r="G15" s="1119"/>
      <c r="H15" s="1119"/>
      <c r="I15" s="1119"/>
      <c r="J15" s="1119"/>
      <c r="K15" s="1119"/>
      <c r="L15" s="1119"/>
      <c r="M15" s="1119"/>
      <c r="N15" s="1119"/>
      <c r="O15" s="1119"/>
      <c r="P15" s="59"/>
      <c r="Q15" s="20"/>
      <c r="R15" s="18" t="s">
        <v>16</v>
      </c>
      <c r="S15" s="1120" t="str">
        <f ca="1">Taal04!B46</f>
        <v>Niet ingevuld</v>
      </c>
      <c r="T15" s="1120"/>
      <c r="U15" s="1120"/>
      <c r="V15" s="1120"/>
      <c r="W15" s="367"/>
      <c r="X15" s="17"/>
      <c r="Y15" s="252"/>
      <c r="Z15" s="252"/>
      <c r="AA15" s="252"/>
      <c r="AB15" s="256"/>
      <c r="AC15" s="256"/>
      <c r="AD15" s="256"/>
      <c r="AE15" s="41"/>
      <c r="AF15" s="831" t="s">
        <v>266</v>
      </c>
      <c r="AG15" s="106" t="str">
        <f t="shared" ca="1" si="0"/>
        <v>02|</v>
      </c>
      <c r="AH15" s="171" t="str">
        <f ca="1">RIGHT(AJ10,1)&amp;4</f>
        <v>A4</v>
      </c>
      <c r="AI15" s="168">
        <f ca="1">$AX$83</f>
        <v>4</v>
      </c>
      <c r="AJ15" s="150" t="str">
        <f ca="1">VLOOKUP(AH15,Voorblad!$X$67:$Z$98,2,FALSE)</f>
        <v>Zwitserland</v>
      </c>
      <c r="AK15" s="149" t="str">
        <f ca="1">VLOOKUP(AH15,Voorblad!$X$67:$Z$98,3,FALSE)</f>
        <v>CH</v>
      </c>
      <c r="AL15" s="208">
        <f>IF(ISNUMBER(J29),J29,0)</f>
        <v>1</v>
      </c>
      <c r="AM15" s="209">
        <f>IF(ISNUMBER(L28),L28,0)</f>
        <v>1</v>
      </c>
      <c r="AN15" s="209">
        <f>IF(ISNUMBER(L26),L26,0)</f>
        <v>1</v>
      </c>
      <c r="AO15" s="210">
        <v>0</v>
      </c>
      <c r="AP15" s="145">
        <f>IF(AA29&lt;&gt;"FOUT",IF(AL15&gt;AO12,3,IF(AL15=AO12,1,0)),0)+IF(AA28&lt;&gt;"FOUT",IF(AM15&gt;AO13,3,IF(AM15=AO13,1,0)),0)+IF(AA26&lt;&gt;"FOUT",IF(AN15&gt;AO14,3,IF(AN15=AO14,1,0)),0)</f>
        <v>4</v>
      </c>
      <c r="AQ15" s="148">
        <f>SUM(AL15:AO15)</f>
        <v>3</v>
      </c>
      <c r="AR15" s="147">
        <f>SUM(AO12:AO15)</f>
        <v>3</v>
      </c>
      <c r="AS15" s="149">
        <f>IF($AP15=$AP12,AL15,0)</f>
        <v>0</v>
      </c>
      <c r="AT15" s="146">
        <f>IF($AP15=$AP13,AM15,0)</f>
        <v>0</v>
      </c>
      <c r="AU15" s="146">
        <f>IF($AP15=$AP14,AN15,0)</f>
        <v>1</v>
      </c>
      <c r="AV15" s="201">
        <v>0</v>
      </c>
      <c r="AW15" s="145">
        <f>IF(AS15&gt;AV12,3,IF(AS15=AV12,1,0))+IF(AT15&gt;AV13,3,IF(AT15=AV13,1,0))+IF(AU15&gt;AV14,3,IF(AU15=AV14,1,0))</f>
        <v>3</v>
      </c>
      <c r="AX15" s="148">
        <f>SUM(AS15:AV15)</f>
        <v>1</v>
      </c>
      <c r="AY15" s="209">
        <f>SUM(AV12:AV15)</f>
        <v>1</v>
      </c>
      <c r="AZ15" s="213">
        <f ca="1">AP15*10000000000000+(500+AQ15-AR15)*10000000000+AQ15*100000000+AW15*1000000+(500+AX15-AY15)*1000+AX15*10+AI15</f>
        <v>45000303500014</v>
      </c>
      <c r="BA15" s="222">
        <f ca="1">RANK(AZ15,AZ12:AZ15)</f>
        <v>3</v>
      </c>
      <c r="BB15" s="403"/>
    </row>
    <row r="16" spans="1:59" ht="15" customHeight="1" x14ac:dyDescent="0.25">
      <c r="B16" s="17"/>
      <c r="C16" s="383"/>
      <c r="D16" s="1119"/>
      <c r="E16" s="1119"/>
      <c r="F16" s="1119"/>
      <c r="G16" s="1119"/>
      <c r="H16" s="1119"/>
      <c r="I16" s="1119"/>
      <c r="J16" s="1119"/>
      <c r="K16" s="1119"/>
      <c r="L16" s="1119"/>
      <c r="M16" s="1119"/>
      <c r="N16" s="1119"/>
      <c r="O16" s="1119"/>
      <c r="P16" s="15"/>
      <c r="Q16" s="21"/>
      <c r="R16" s="18" t="s">
        <v>16</v>
      </c>
      <c r="S16" s="1120" t="str">
        <f ca="1">Taal04!B47</f>
        <v>Fout ingevuld</v>
      </c>
      <c r="T16" s="1120"/>
      <c r="U16" s="1120"/>
      <c r="V16" s="1120"/>
      <c r="W16" s="367"/>
      <c r="X16" s="17"/>
      <c r="Y16" s="252"/>
      <c r="Z16" s="252"/>
      <c r="AA16" s="252"/>
      <c r="AB16" s="252"/>
      <c r="AC16" s="257" t="s">
        <v>269</v>
      </c>
      <c r="AD16" s="258" t="str">
        <f ca="1">IF(LEN(SUBSTITUTE(Y11,"FOUT","ONGELDIG"))=AD14,"GOED","FOUT")</f>
        <v>GOED</v>
      </c>
      <c r="AE16" s="41"/>
      <c r="AF16" s="832" t="s">
        <v>267</v>
      </c>
      <c r="AG16" s="106" t="str">
        <f ca="1">IF(TYPE(VLOOKUP(AF16,$D$25:$D$60,1,FALSE)*1)=1,VLOOKUP(AF16,$D$25:$AA$60,24,FALSE),IF(TYPE(VLOOKUP(AF16,$N$25:$N$60,1,FALSE)*1)=1,VLOOKUP(AF16,$N$25:$AD$60,17,FALSE),"ERROR"))</f>
        <v>01|</v>
      </c>
      <c r="AH16" s="70"/>
      <c r="AI16" s="70"/>
      <c r="AJ16" s="70" t="s">
        <v>230</v>
      </c>
      <c r="AK16" s="70" t="str">
        <f>IF(COUNTIF(Y25:Z30,"GOED")=12,"JA","NEE")</f>
        <v>JA</v>
      </c>
      <c r="AL16" s="69"/>
      <c r="AM16" s="69"/>
      <c r="AN16" s="69"/>
      <c r="AO16" s="69"/>
      <c r="AP16" s="69"/>
      <c r="AQ16" s="69"/>
      <c r="AR16" s="69"/>
      <c r="AS16" s="182"/>
      <c r="AT16" s="182"/>
      <c r="AU16" s="182"/>
      <c r="AV16" s="182"/>
      <c r="AW16" s="182"/>
      <c r="AX16" s="182"/>
      <c r="AY16" s="182"/>
      <c r="AZ16" s="182"/>
      <c r="BA16" s="70"/>
    </row>
    <row r="17" spans="1:53" ht="15" customHeight="1" x14ac:dyDescent="0.25">
      <c r="B17" s="17"/>
      <c r="C17" s="368"/>
      <c r="D17" s="56"/>
      <c r="E17" s="56"/>
      <c r="F17" s="56"/>
      <c r="G17" s="56"/>
      <c r="H17" s="56"/>
      <c r="I17" s="56"/>
      <c r="J17" s="56"/>
      <c r="K17" s="56"/>
      <c r="L17" s="56"/>
      <c r="M17" s="56"/>
      <c r="N17" s="56"/>
      <c r="O17" s="56"/>
      <c r="P17" s="56"/>
      <c r="Q17" s="56"/>
      <c r="R17" s="56"/>
      <c r="S17" s="56"/>
      <c r="T17" s="56"/>
      <c r="U17" s="56"/>
      <c r="V17" s="56"/>
      <c r="W17" s="369"/>
      <c r="X17" s="17"/>
      <c r="Y17" s="1114" t="s">
        <v>314</v>
      </c>
      <c r="Z17" s="1114"/>
      <c r="AA17" s="1114"/>
      <c r="AB17" s="1114"/>
      <c r="AC17" s="1114"/>
      <c r="AD17" s="1114"/>
      <c r="AE17" s="283"/>
      <c r="AF17" s="831" t="s">
        <v>265</v>
      </c>
      <c r="AG17" s="106" t="str">
        <f ca="1">IF(TYPE(VLOOKUP(AF17,$D$25:$D$60,1,FALSE)*1)=1,VLOOKUP(AF17,$D$25:$AA$60,24,FALSE),IF(TYPE(VLOOKUP(AF17,$N$25:$N$60,1,FALSE)*1)=1,VLOOKUP(AF17,$N$25:$AD$60,17,FALSE),"ERROR"))</f>
        <v>13|</v>
      </c>
      <c r="AH17" s="1116"/>
      <c r="AI17" s="1116"/>
      <c r="AJ17" s="70"/>
      <c r="AK17" s="1116" t="s">
        <v>175</v>
      </c>
      <c r="AL17" s="1116" t="str">
        <f ca="1">AJ21</f>
        <v>Spanje</v>
      </c>
      <c r="AM17" s="1116" t="str">
        <f ca="1">AJ22</f>
        <v>Kroatië</v>
      </c>
      <c r="AN17" s="1116" t="str">
        <f ca="1">AJ23</f>
        <v>Italië</v>
      </c>
      <c r="AO17" s="1116" t="str">
        <f ca="1">AJ24</f>
        <v>Albanië</v>
      </c>
      <c r="AP17" s="1116" t="s">
        <v>98</v>
      </c>
      <c r="AQ17" s="1116" t="s">
        <v>174</v>
      </c>
      <c r="AR17" s="1116" t="s">
        <v>173</v>
      </c>
      <c r="AS17" s="1116" t="str">
        <f ca="1">"Gelijk met "&amp;AH21</f>
        <v>Gelijk met B1</v>
      </c>
      <c r="AT17" s="1116" t="str">
        <f ca="1">"Gelijk met "&amp;AH22</f>
        <v>Gelijk met B2</v>
      </c>
      <c r="AU17" s="1116" t="str">
        <f ca="1">"Gelijk met "&amp;AH23</f>
        <v>Gelijk met B3</v>
      </c>
      <c r="AV17" s="1116" t="str">
        <f ca="1">"Gelijk met "&amp;AH24</f>
        <v>Gelijk met B4</v>
      </c>
      <c r="AW17" s="1116" t="s">
        <v>98</v>
      </c>
      <c r="AX17" s="1116" t="s">
        <v>174</v>
      </c>
      <c r="AY17" s="1116" t="s">
        <v>173</v>
      </c>
      <c r="AZ17" s="1116" t="s">
        <v>231</v>
      </c>
      <c r="BA17" s="1116" t="s">
        <v>73</v>
      </c>
    </row>
    <row r="18" spans="1:53" ht="15" customHeight="1" x14ac:dyDescent="0.25">
      <c r="B18" s="17"/>
      <c r="C18" s="17"/>
      <c r="D18" s="17"/>
      <c r="E18" s="17"/>
      <c r="F18" s="17"/>
      <c r="G18" s="17"/>
      <c r="H18" s="17"/>
      <c r="I18" s="17"/>
      <c r="J18" s="17"/>
      <c r="K18" s="17"/>
      <c r="L18" s="17"/>
      <c r="M18" s="17"/>
      <c r="N18" s="17"/>
      <c r="O18" s="17"/>
      <c r="P18" s="17"/>
      <c r="Q18" s="17"/>
      <c r="R18" s="17"/>
      <c r="S18" s="17"/>
      <c r="T18" s="17"/>
      <c r="U18" s="17"/>
      <c r="V18" s="17"/>
      <c r="W18" s="17"/>
      <c r="X18" s="17"/>
      <c r="Y18" s="283"/>
      <c r="Z18" s="284" t="s">
        <v>315</v>
      </c>
      <c r="AA18" s="284" t="s">
        <v>316</v>
      </c>
      <c r="AB18" s="284" t="s">
        <v>317</v>
      </c>
      <c r="AC18" s="284" t="s">
        <v>318</v>
      </c>
      <c r="AD18" s="284" t="s">
        <v>313</v>
      </c>
      <c r="AE18" s="284" t="s">
        <v>1904</v>
      </c>
      <c r="AF18" s="251">
        <v>10</v>
      </c>
      <c r="AG18" s="106" t="str">
        <f ca="1">IF(TYPE(VLOOKUP(AF18,$D$25:$D$60,1,FALSE)*1)=1,VLOOKUP(AF18,$D$25:$AA$60,24,FALSE),IF(TYPE(VLOOKUP(AF18,$N$25:$N$60,1,FALSE)*1)=1,VLOOKUP(AF18,$N$25:$AD$60,17,FALSE),"ERROR"))</f>
        <v>01|</v>
      </c>
      <c r="AH18" s="1116"/>
      <c r="AI18" s="1116"/>
      <c r="AJ18" s="70"/>
      <c r="AK18" s="1116"/>
      <c r="AL18" s="1116"/>
      <c r="AM18" s="1116"/>
      <c r="AN18" s="1116"/>
      <c r="AO18" s="1116"/>
      <c r="AP18" s="1116"/>
      <c r="AQ18" s="1116"/>
      <c r="AR18" s="1116"/>
      <c r="AS18" s="1116"/>
      <c r="AT18" s="1116"/>
      <c r="AU18" s="1116"/>
      <c r="AV18" s="1116"/>
      <c r="AW18" s="1116"/>
      <c r="AX18" s="1116"/>
      <c r="AY18" s="1116"/>
      <c r="AZ18" s="1116"/>
      <c r="BA18" s="1116"/>
    </row>
    <row r="19" spans="1:53" ht="15" customHeight="1" x14ac:dyDescent="0.25">
      <c r="B19" s="17"/>
      <c r="C19" s="974"/>
      <c r="D19" s="989" t="str">
        <f ca="1">Taal04!$B$49</f>
        <v>De Groepswedstrijden - Groep A t/m F</v>
      </c>
      <c r="E19" s="976"/>
      <c r="F19" s="976"/>
      <c r="G19" s="976"/>
      <c r="H19" s="976"/>
      <c r="I19" s="976"/>
      <c r="J19" s="976"/>
      <c r="K19" s="976"/>
      <c r="L19" s="976"/>
      <c r="M19" s="976"/>
      <c r="N19" s="976"/>
      <c r="O19" s="976"/>
      <c r="P19" s="976"/>
      <c r="Q19" s="976"/>
      <c r="R19" s="976"/>
      <c r="S19" s="976"/>
      <c r="T19" s="976"/>
      <c r="U19" s="976"/>
      <c r="V19" s="976"/>
      <c r="W19" s="978"/>
      <c r="X19" s="17"/>
      <c r="Y19" s="284" t="s">
        <v>457</v>
      </c>
      <c r="Z19" s="285">
        <f>IF(LEN(AA25)=3,IF(J25=L25,0,1),0)+IF(LEN(AA26)=3,IF(J26=L26,0,1),0)+IF(LEN(AA27)=3,IF(J27=L27,0,1),0)+IF(LEN(AA28)=3,IF(J28=L28,0,1),0)+IF(LEN(AA29)=3,IF(J29=L29,0,1),0)+IF(LEN(AA30)=3,IF(J30=L30,0,1),0)+IF(LEN(AD25)=3,IF(T25=V25,0,1),0)+IF(LEN(AD26)=3,IF(T26=V26,0,1),0)+IF(LEN(AD27)=3,IF(T27=V27,0,1),0)+IF(LEN(AD28)=3,IF(T28=V28,0,1),0)+IF(LEN(AD29)=3,IF(T29=V29,0,1),0)+IF(LEN(AD30)=3,IF(T30=V30,0,1),0)</f>
        <v>10</v>
      </c>
      <c r="AA19" s="285">
        <f>IF(LEN(AA35)=3,IF(J35=L35,0,1),0)+IF(LEN(AA36)=3,IF(J36=L36,0,1),0)+IF(LEN(AA38)=3,IF(J38=L38,0,1),0)+IF(LEN(AA37)=3,IF(J37=L37,0,1),0)+IF(LEN(AA39)=3,IF(J39=L39,0,1),0)+IF(LEN(AA40)=3,IF(J40=L40,0,1),0)+IF(LEN(AD35)=3,IF(T35=V35,0,1),0)+IF(LEN(AD36)=3,IF(T36=V36,0,1),0)+IF(LEN(AD37)=3,IF(T37=V37,0,1),0)+IF(LEN(AD38)=3,IF(T38=V38,0,1),0)+IF(LEN(AD39)=3,IF(T39=V39,0,1),0)+IF(LEN(AD40)=3,IF(T40=V40,0,1),0)</f>
        <v>11</v>
      </c>
      <c r="AB19" s="285">
        <f>IF(LEN(AA45)=3,IF(J45=L45,0,1),0)+IF(LEN(AA46)=3,IF(J46=L46,0,1),0)+IF(LEN(AA47)=3,IF(J47=L47,0,1),0)+IF(LEN(AA48)=3,IF(J48=L48,0,1),0)+IF(LEN(AA49)=3,IF(J49=L49,0,1),0)+IF(LEN(AA50)=3,IF(J50=L50,0,1),0)+IF(LEN(AD45)=3,IF(T45=V45,0,1),0)+IF(LEN(AD46)=3,IF(T46=V46,0,1),0)+IF(LEN(AD48)=3,IF(T48=V48,0,1),0)+IF(LEN(AD47)=3,IF(T47=V47,0,1),0)+IF(LEN(AD49)=3,IF(T49=V49,0,1),0)+IF(LEN(AD50)=3,IF(T50=V50,0,1),0)</f>
        <v>11</v>
      </c>
      <c r="AC19" s="285">
        <f>IF(LEN(AA55)=3,IF(J55=L55,0,1),0)+IF(LEN(AA56)=3,IF(J56=L56,0,1),0)+IF(LEN(AA57)=3,IF(J57=L57,0,1),0)+IF(LEN(AA58)=3,IF(J58=L58,0,1),0)+IF(LEN(AA59)=3,IF(J59=L59,0,1),0)+IF(LEN(AA60)=3,IF(J60=L60,0,1),0)+IF(LEN(AD56)=3,IF(T56=V56,0,1),0)+IF(LEN(AD55)=3,IF(T55=V55,0,1),0)+IF(LEN(AD58)=3,IF(T58=V58,0,1),0)+IF(LEN(AD57)=3,IF(T57=V57,0,1),0)+IF(LEN(AD59)=3,IF(T59=V59,0,1),0)+IF(LEN(AD60)=3,IF(T60=V60,0,1),0)</f>
        <v>0</v>
      </c>
      <c r="AD19" s="284">
        <f>SUM(Z19:AB19)+IF($A$53="H",0,AC19)</f>
        <v>32</v>
      </c>
      <c r="AE19" s="284" t="s">
        <v>1905</v>
      </c>
      <c r="AF19" s="831" t="s">
        <v>2398</v>
      </c>
      <c r="AG19" s="106" t="str">
        <f t="shared" ca="1" si="0"/>
        <v>21|</v>
      </c>
      <c r="AH19" s="1116"/>
      <c r="AI19" s="1116"/>
      <c r="AJ19" s="161" t="str">
        <f ca="1">N23</f>
        <v>Groep B</v>
      </c>
      <c r="AK19" s="1116"/>
      <c r="AL19" s="1116"/>
      <c r="AM19" s="1116"/>
      <c r="AN19" s="1116"/>
      <c r="AO19" s="1116"/>
      <c r="AP19" s="1116"/>
      <c r="AQ19" s="1116"/>
      <c r="AR19" s="1116"/>
      <c r="AS19" s="1116"/>
      <c r="AT19" s="1116"/>
      <c r="AU19" s="1116"/>
      <c r="AV19" s="1116"/>
      <c r="AW19" s="1116"/>
      <c r="AX19" s="1116"/>
      <c r="AY19" s="1116"/>
      <c r="AZ19" s="1116"/>
      <c r="BA19" s="1116"/>
    </row>
    <row r="20" spans="1:53" ht="15" customHeight="1" x14ac:dyDescent="0.25">
      <c r="B20" s="17"/>
      <c r="C20" s="947"/>
      <c r="D20" s="329"/>
      <c r="E20" s="16"/>
      <c r="F20" s="16"/>
      <c r="G20" s="16"/>
      <c r="H20" s="16"/>
      <c r="I20" s="16"/>
      <c r="J20" s="16"/>
      <c r="K20" s="16"/>
      <c r="L20" s="16"/>
      <c r="M20" s="16"/>
      <c r="N20" s="16"/>
      <c r="O20" s="16"/>
      <c r="P20" s="16"/>
      <c r="Q20" s="16"/>
      <c r="R20" s="16"/>
      <c r="S20" s="16"/>
      <c r="T20" s="16"/>
      <c r="U20" s="16"/>
      <c r="V20" s="16"/>
      <c r="W20" s="948"/>
      <c r="X20" s="17"/>
      <c r="Y20" s="284" t="s">
        <v>456</v>
      </c>
      <c r="Z20" s="285">
        <f>IF(LEN(AA25)=3,IF(J25=L25,1,0),0)+IF(LEN(AA26)=3,IF(J26=L26,1,0),0)+IF(LEN(AA27)=3,IF(J27=L27,1,0),0)+IF(LEN(AA28)=3,IF(J28=L28,1,0),0)+IF(LEN(AA29)=3,IF(J29=L29,1,0),0)+IF(LEN(AA30)=3,IF(J30=L30,1,0),0)+IF(LEN(AD25)=3,IF(T25=V25,1,0),0)+IF(LEN(AD26)=3,IF(T26=V26,1,0),0)+IF(LEN(AD27)=3,IF(T27=V27,1,0),0)+IF(LEN(AD28)=3,IF(T28=V28,1,0),0)+IF(LEN(AD29)=3,IF(T29=V29,1,0),0)+IF(LEN(AD30)=3,IF(T30=V30,1,0),0)</f>
        <v>2</v>
      </c>
      <c r="AA20" s="285">
        <f>IF(LEN(AA35)=3,IF(J35=L35,1,0),0)+IF(LEN(AA36)=3,IF(J36=L36,1,0),0)+IF(LEN(AA38)=3,IF(J38=L38,1,0),0)+IF(LEN(AA37)=3,IF(J37=L37,1,0),0)+IF(LEN(AA39)=3,IF(J39=L39,1,0),0)+IF(LEN(AA40)=3,IF(J40=L40,1,0),0)+IF(LEN(AD35)=3,IF(T35=V35,1,0),0)+IF(LEN(AD36)=3,IF(T36=V36,1,0),0)+IF(LEN(AD37)=3,IF(T37=V37,1,0),0)+IF(LEN(AD38)=3,IF(T38=V38,1,0),0)+IF(LEN(AD39)=3,IF(T39=V39,1,0),0)+IF(LEN(AD40)=3,IF(T40=V40,1,0),0)</f>
        <v>1</v>
      </c>
      <c r="AB20" s="285">
        <f>IF(LEN(AA45)=3,IF(J45=L45,1,0),0)+IF(LEN(AA46)=3,IF(J46=L46,1,0),0)+IF(LEN(AA47)=3,IF(J47=L47,1,0),0)+IF(LEN(AA48)=3,IF(J48=L48,1,0),0)+IF(LEN(AA49)=3,IF(J49=L49,1,0),0)+IF(LEN(AA50)=3,IF(J50=L50,1,0),0)+IF(LEN(AD45)=3,IF(T45=V45,1,0),0)+IF(LEN(AD46)=3,IF(T46=V46,1,0),0)+IF(LEN(AD48)=3,IF(T48=V48,1,0),0)+IF(LEN(AD47)=3,IF(T47=V47,1,0),0)+IF(LEN(AD49)=3,IF(T49=V49,1,0),0)+IF(LEN(AD50)=3,IF(T50=V50,1,0),0)</f>
        <v>1</v>
      </c>
      <c r="AC20" s="285">
        <f>IF(LEN(AA55)=3,IF(J55=L55,1,0),0)+IF(LEN(AA56)=3,IF(J56=L56,1,0),0)+IF(LEN(AA57)=3,IF(J57=L57,1,0),0)+IF(LEN(AA58)=3,IF(J58=L58,1,0),0)+IF(LEN(AA59)=3,IF(J59=L59,1,0),0)+IF(LEN(AA60)=3,IF(J60=L60,1,0),0)+IF(LEN(AD56)=3,IF(T56=V56,1,0),0)+IF(LEN(AD55)=3,IF(T55=V55,1,0),0)+IF(LEN(AD58)=3,IF(T58=V58,1,0),0)+IF(LEN(AD57)=3,IF(T57=V57,1,0),0)+IF(LEN(AD59)=3,IF(T59=V59,1,0),0)+IF(LEN(AD60)=3,IF(T60=V60,1,0),0)</f>
        <v>0</v>
      </c>
      <c r="AD20" s="284">
        <f>SUM(Z20:AB20)+IF($A$53="H",0,AC20)</f>
        <v>4</v>
      </c>
      <c r="AE20" s="284" t="s">
        <v>1906</v>
      </c>
      <c r="AF20" s="831" t="s">
        <v>268</v>
      </c>
      <c r="AG20" s="106" t="str">
        <f t="shared" ca="1" si="0"/>
        <v>02|</v>
      </c>
      <c r="AH20" s="1116"/>
      <c r="AI20" s="1116"/>
      <c r="AJ20" s="70" t="s">
        <v>17</v>
      </c>
      <c r="AK20" s="1116"/>
      <c r="AL20" s="1116"/>
      <c r="AM20" s="1116"/>
      <c r="AN20" s="1116"/>
      <c r="AO20" s="1116"/>
      <c r="AP20" s="1116"/>
      <c r="AQ20" s="1116"/>
      <c r="AR20" s="1116"/>
      <c r="AS20" s="1116"/>
      <c r="AT20" s="1116"/>
      <c r="AU20" s="1116"/>
      <c r="AV20" s="1116"/>
      <c r="AW20" s="1116"/>
      <c r="AX20" s="1116"/>
      <c r="AY20" s="1116"/>
      <c r="AZ20" s="1116"/>
      <c r="BA20" s="1116"/>
    </row>
    <row r="21" spans="1:53" s="166" customFormat="1" ht="15" customHeight="1" x14ac:dyDescent="0.4">
      <c r="A21" s="44"/>
      <c r="B21" s="17"/>
      <c r="C21" s="949"/>
      <c r="D21" s="333" t="str">
        <f ca="1">IF($AD$21=1,Taal04!$B$50,Voorblad!C15)</f>
        <v>Voorspel de uitslag van de groepswedstrijden en vul deze in op dit blad.</v>
      </c>
      <c r="E21" s="17"/>
      <c r="F21" s="17"/>
      <c r="G21" s="17"/>
      <c r="H21" s="17"/>
      <c r="I21" s="17"/>
      <c r="J21" s="17"/>
      <c r="K21" s="17"/>
      <c r="L21" s="17"/>
      <c r="M21" s="17"/>
      <c r="N21" s="17"/>
      <c r="O21" s="17"/>
      <c r="P21" s="17"/>
      <c r="Q21" s="17"/>
      <c r="R21" s="17"/>
      <c r="S21" s="17"/>
      <c r="T21" s="17"/>
      <c r="U21" s="17"/>
      <c r="V21" s="17"/>
      <c r="W21" s="60"/>
      <c r="X21" s="17"/>
      <c r="Y21" s="332"/>
      <c r="Z21" s="332"/>
      <c r="AA21" s="332"/>
      <c r="AB21" s="332"/>
      <c r="AC21" s="334" t="s">
        <v>299</v>
      </c>
      <c r="AD21" s="109">
        <f>Reglement!Q81</f>
        <v>1</v>
      </c>
      <c r="AE21" s="848" t="s">
        <v>1907</v>
      </c>
      <c r="AF21" s="106">
        <v>11</v>
      </c>
      <c r="AG21" s="106" t="str">
        <f t="shared" ca="1" si="0"/>
        <v>21|</v>
      </c>
      <c r="AH21" s="171" t="str">
        <f ca="1">RIGHT(AJ19,1)&amp;1</f>
        <v>B1</v>
      </c>
      <c r="AI21" s="168">
        <f ca="1">$AU$84</f>
        <v>4</v>
      </c>
      <c r="AJ21" s="160" t="str">
        <f ca="1">VLOOKUP(AH21,Voorblad!$X$67:$Z$98,2,FALSE)</f>
        <v>Spanje</v>
      </c>
      <c r="AK21" s="159" t="str">
        <f ca="1">VLOOKUP(AH21,Voorblad!$X$67:$Z$98,3,FALSE)</f>
        <v>ES</v>
      </c>
      <c r="AL21" s="203">
        <v>0</v>
      </c>
      <c r="AM21" s="206">
        <f>IF(ISNUMBER(T25),T25,0)</f>
        <v>2</v>
      </c>
      <c r="AN21" s="206">
        <f>IF(ISNUMBER(T28),T28,0)</f>
        <v>2</v>
      </c>
      <c r="AO21" s="206">
        <f>IF(ISNUMBER(V29),V29,0)</f>
        <v>3</v>
      </c>
      <c r="AP21" s="155">
        <f>IF(AD25&lt;&gt;"FOUT",IF(AM21&gt;AL22,3,IF(AM21=AL22,1,0)),0)+IF(AD28&lt;&gt;"FOUT",IF(AN21&gt;AL23,3,IF(AN21=AL23,1,0)),0)+IF(AD29&lt;&gt;"FOUT",IF(AO21&gt;AL24,3,IF(AO21=AL24,1,0)),0)</f>
        <v>7</v>
      </c>
      <c r="AQ21" s="158">
        <f>SUM(AL21:AO21)</f>
        <v>7</v>
      </c>
      <c r="AR21" s="157">
        <f>SUM(AL21:AL24)</f>
        <v>3</v>
      </c>
      <c r="AS21" s="203">
        <v>0</v>
      </c>
      <c r="AT21" s="156">
        <f>IF($AP21=$AP22,AM21,0)</f>
        <v>2</v>
      </c>
      <c r="AU21" s="156">
        <f>IF($AP21=$AP23,AN21,0)</f>
        <v>0</v>
      </c>
      <c r="AV21" s="199">
        <f>IF($AP21=$AP24,AO21,0)</f>
        <v>0</v>
      </c>
      <c r="AW21" s="155">
        <f>IF(AT21&gt;AS22,3,IF(AT21=AS22,1,0))+IF(AU21&gt;AS23,3,IF(AU21=AS23,1,0))+IF(AV21&gt;AS24,3,IF(AV21=AS24,1,0))</f>
        <v>3</v>
      </c>
      <c r="AX21" s="158">
        <f>SUM(AS21:AV21)</f>
        <v>2</v>
      </c>
      <c r="AY21" s="157">
        <f>SUM(AS21:AS24)</f>
        <v>2</v>
      </c>
      <c r="AZ21" s="211">
        <f ca="1">AP21*10000000000000+(500+AQ21-AR21)*10000000000+AQ21*100000000+AW21*1000000+(500+AX21-AY21)*1000+AX21*10+AI21</f>
        <v>75040703500024</v>
      </c>
      <c r="BA21" s="214">
        <f ca="1">RANK(AZ21,AZ21:AZ24)</f>
        <v>1</v>
      </c>
    </row>
    <row r="22" spans="1:53" s="166" customFormat="1" ht="15" customHeight="1" x14ac:dyDescent="0.25">
      <c r="B22" s="17"/>
      <c r="C22" s="949"/>
      <c r="D22" s="192"/>
      <c r="E22" s="17"/>
      <c r="F22" s="17"/>
      <c r="G22" s="17"/>
      <c r="H22" s="17"/>
      <c r="I22" s="17"/>
      <c r="J22" s="17"/>
      <c r="K22" s="17"/>
      <c r="L22" s="17"/>
      <c r="M22" s="17"/>
      <c r="N22" s="17"/>
      <c r="O22" s="17"/>
      <c r="P22" s="17"/>
      <c r="Q22" s="17"/>
      <c r="R22" s="17"/>
      <c r="S22" s="17"/>
      <c r="T22" s="17"/>
      <c r="U22" s="17"/>
      <c r="V22" s="170" t="str">
        <f ca="1">Taal04!$B$25</f>
        <v>Alle tijden zijn Midden-Europese Tijd (UCT+1)</v>
      </c>
      <c r="W22" s="60"/>
      <c r="X22" s="17"/>
      <c r="Y22" s="4"/>
      <c r="Z22" s="4"/>
      <c r="AA22" s="138"/>
      <c r="AB22" s="4"/>
      <c r="AC22" s="4"/>
      <c r="AD22" s="138"/>
      <c r="AE22" s="284">
        <f>LARGE(AE25:AE60,1)</f>
        <v>5</v>
      </c>
      <c r="AF22" s="251">
        <v>12</v>
      </c>
      <c r="AG22" s="106" t="str">
        <f t="shared" ca="1" si="0"/>
        <v>30|</v>
      </c>
      <c r="AH22" s="171" t="str">
        <f ca="1">RIGHT(AJ19,1)&amp;2</f>
        <v>B2</v>
      </c>
      <c r="AI22" s="168">
        <f ca="1">$AV$84</f>
        <v>3</v>
      </c>
      <c r="AJ22" s="154" t="str">
        <f ca="1">VLOOKUP(AH22,Voorblad!$X$67:$Z$98,2,FALSE)</f>
        <v>Kroatië</v>
      </c>
      <c r="AK22" s="110" t="str">
        <f ca="1">VLOOKUP(AH22,Voorblad!$X$67:$Z$98,3,FALSE)</f>
        <v>HR</v>
      </c>
      <c r="AL22" s="207">
        <f>IF(ISNUMBER(V25),V25,0)</f>
        <v>2</v>
      </c>
      <c r="AM22" s="202">
        <v>0</v>
      </c>
      <c r="AN22" s="163">
        <f>IF(ISNUMBER(T30),T30,0)</f>
        <v>1</v>
      </c>
      <c r="AO22" s="163">
        <f>IF(ISNUMBER(T27),T27,0)</f>
        <v>2</v>
      </c>
      <c r="AP22" s="151">
        <f>IF(AD25&lt;&gt;"FOUT",IF(AL22&gt;AM21,3,IF(AL22=AM21,1,0)),0)+IF(AD30&lt;&gt;"FOUT",IF(AN22&gt;AM23,3,IF(AN22=AM23,1,0)),0)+IF(AD27&lt;&gt;"FOUT",IF(AO22&gt;AM24,3,IF(AO22=AM24,1,0)),0)</f>
        <v>7</v>
      </c>
      <c r="AQ22" s="153">
        <f>SUM(AL22:AO22)</f>
        <v>5</v>
      </c>
      <c r="AR22" s="152">
        <f>SUM(AM21:AM24)</f>
        <v>2</v>
      </c>
      <c r="AS22" s="110">
        <f>IF($AP22=$AP21,AL22,0)</f>
        <v>2</v>
      </c>
      <c r="AT22" s="202">
        <v>0</v>
      </c>
      <c r="AU22" s="69">
        <f>IF($AP22=$AP23,AN22,0)</f>
        <v>0</v>
      </c>
      <c r="AV22" s="200">
        <f>IF($AP22=$AP24,AO22,0)</f>
        <v>0</v>
      </c>
      <c r="AW22" s="151">
        <f>IF(AS22&gt;AT21,3,IF(AS22=AT21,1,0))+IF(AU22&gt;AT23,3,IF(AU22=AT23,1,0))+IF(AV22&gt;AT24,3,IF(AV22=AT24,1,0))</f>
        <v>3</v>
      </c>
      <c r="AX22" s="153">
        <f>SUM(AS22:AV22)</f>
        <v>2</v>
      </c>
      <c r="AY22" s="152">
        <f>SUM(AT21:AT24)</f>
        <v>2</v>
      </c>
      <c r="AZ22" s="212">
        <f ca="1">AP22*10000000000000+(500+AQ22-AR22)*10000000000+AQ22*100000000+AW22*1000000+(500+AX22-AY22)*1000+AX22*10+AI22</f>
        <v>75030503500023</v>
      </c>
      <c r="BA22" s="215">
        <f ca="1">RANK(AZ22,AZ21:AZ24)</f>
        <v>2</v>
      </c>
    </row>
    <row r="23" spans="1:53" s="166" customFormat="1" ht="20.100000000000001" customHeight="1" x14ac:dyDescent="0.4">
      <c r="B23" s="17"/>
      <c r="C23" s="949"/>
      <c r="D23" s="828" t="str">
        <f ca="1">Taal04!$B$26&amp;" A"</f>
        <v>Groep A</v>
      </c>
      <c r="E23" s="17"/>
      <c r="F23" s="17"/>
      <c r="G23" s="17"/>
      <c r="H23" s="17"/>
      <c r="I23" s="17"/>
      <c r="J23" s="17"/>
      <c r="K23" s="17"/>
      <c r="L23" s="17"/>
      <c r="M23" s="17"/>
      <c r="N23" s="828" t="str">
        <f ca="1">Taal04!$B$26&amp;" B"</f>
        <v>Groep B</v>
      </c>
      <c r="O23" s="17"/>
      <c r="P23" s="17"/>
      <c r="Q23" s="17"/>
      <c r="R23" s="17"/>
      <c r="S23" s="17"/>
      <c r="T23" s="17"/>
      <c r="U23" s="17"/>
      <c r="V23" s="17"/>
      <c r="W23" s="60"/>
      <c r="X23" s="17"/>
      <c r="Y23" s="1117" t="str">
        <f ca="1">"Controle "&amp;D23</f>
        <v>Controle Groep A</v>
      </c>
      <c r="Z23" s="1117"/>
      <c r="AA23" s="1117"/>
      <c r="AB23" s="1117" t="str">
        <f ca="1">"Controle "&amp;N23</f>
        <v>Controle Groep B</v>
      </c>
      <c r="AC23" s="1117"/>
      <c r="AD23" s="1117"/>
      <c r="AE23" s="849"/>
      <c r="AF23" s="251">
        <v>15</v>
      </c>
      <c r="AG23" s="106" t="str">
        <f ca="1">IF(TYPE(VLOOKUP(AF23,$D$25:$D$60,1,FALSE)*1)=1,VLOOKUP(AF23,$D$25:$AA$60,24,FALSE),IF(TYPE(VLOOKUP(AF23,$N$25:$N$60,1,FALSE)*1)=1,VLOOKUP(AF23,$N$25:$AD$60,17,FALSE),"ERROR"))</f>
        <v>20|</v>
      </c>
      <c r="AH23" s="171" t="str">
        <f ca="1">RIGHT(AJ19,1)&amp;3</f>
        <v>B3</v>
      </c>
      <c r="AI23" s="168">
        <f ca="1">$AW$84</f>
        <v>2</v>
      </c>
      <c r="AJ23" s="154" t="str">
        <f ca="1">VLOOKUP(AH23,Voorblad!$X$67:$Z$98,2,FALSE)</f>
        <v>Italië</v>
      </c>
      <c r="AK23" s="110" t="str">
        <f ca="1">VLOOKUP(AH23,Voorblad!$X$67:$Z$98,3,FALSE)</f>
        <v>IT</v>
      </c>
      <c r="AL23" s="207">
        <f>IF(ISNUMBER(V28),V28,0)</f>
        <v>1</v>
      </c>
      <c r="AM23" s="163">
        <f>IF(ISNUMBER(V30),V30,0)</f>
        <v>0</v>
      </c>
      <c r="AN23" s="202">
        <v>0</v>
      </c>
      <c r="AO23" s="163">
        <f>IF(ISNUMBER(T26),T26,0)</f>
        <v>2</v>
      </c>
      <c r="AP23" s="151">
        <f>IF(AD28&lt;&gt;"FOUT",IF(AL23&gt;AN21,3,IF(AL23=AN21,1,0)),0)+IF(AD30&lt;&gt;"FOUT",IF(AM23&gt;AN22,3,IF(AM23=AN22,1,0)),0)+IF(AD26&lt;&gt;"FOUT",IF(AO23&gt;AN24,3,IF(AO23=AN24,1,0)),0)</f>
        <v>3</v>
      </c>
      <c r="AQ23" s="153">
        <f>SUM(AL23:AO23)</f>
        <v>3</v>
      </c>
      <c r="AR23" s="152">
        <f>SUM(AN21:AN24)</f>
        <v>4</v>
      </c>
      <c r="AS23" s="110">
        <f>IF($AP23=$AP21,AL23,0)</f>
        <v>0</v>
      </c>
      <c r="AT23" s="69">
        <f>IF($AP23=$AP22,AM23,0)</f>
        <v>0</v>
      </c>
      <c r="AU23" s="202">
        <v>0</v>
      </c>
      <c r="AV23" s="200">
        <f>IF($AP23=$AP24,AO23,0)</f>
        <v>0</v>
      </c>
      <c r="AW23" s="151">
        <f>IF(AS23&gt;AU21,3,IF(AS23=AU21,1,0))+IF(AT23&gt;AU22,3,IF(AT23=AU22,1,0))+IF(AV23&gt;AU24,3,IF(AV23=AU24,1,0))</f>
        <v>3</v>
      </c>
      <c r="AX23" s="153">
        <f>SUM(AS23:AV23)</f>
        <v>0</v>
      </c>
      <c r="AY23" s="152">
        <f>SUM(AU21:AU24)</f>
        <v>0</v>
      </c>
      <c r="AZ23" s="212">
        <f ca="1">AP23*10000000000000+(500+AQ23-AR23)*10000000000+AQ23*100000000+AW23*1000000+(500+AX23-AY23)*1000+AX23*10+AI23</f>
        <v>34990303500002</v>
      </c>
      <c r="BA23" s="215">
        <f ca="1">RANK(AZ23,AZ21:AZ24)</f>
        <v>3</v>
      </c>
    </row>
    <row r="24" spans="1:53" s="166" customFormat="1" ht="15" customHeight="1" x14ac:dyDescent="0.25">
      <c r="B24" s="17"/>
      <c r="C24" s="949"/>
      <c r="D24" s="107"/>
      <c r="E24" s="939" t="str">
        <f ca="1">Taal04!$B$20</f>
        <v>Datum</v>
      </c>
      <c r="F24" s="939" t="str">
        <f ca="1">Taal04!$B$21</f>
        <v>Tijd</v>
      </c>
      <c r="G24" s="1142" t="str">
        <f ca="1">Taal04!$B$22</f>
        <v>Wedstrijd</v>
      </c>
      <c r="H24" s="1142"/>
      <c r="I24" s="1142"/>
      <c r="J24" s="1142" t="str">
        <f ca="1">Taal04!$B$24</f>
        <v>Eindstand</v>
      </c>
      <c r="K24" s="1143"/>
      <c r="L24" s="1143"/>
      <c r="M24" s="17"/>
      <c r="N24" s="107"/>
      <c r="O24" s="939" t="str">
        <f ca="1">Taal04!$B$20</f>
        <v>Datum</v>
      </c>
      <c r="P24" s="939" t="str">
        <f ca="1">Taal04!$B$21</f>
        <v>Tijd</v>
      </c>
      <c r="Q24" s="1142" t="str">
        <f ca="1">Taal04!$B$22</f>
        <v>Wedstrijd</v>
      </c>
      <c r="R24" s="1142"/>
      <c r="S24" s="1142"/>
      <c r="T24" s="1142" t="str">
        <f ca="1">Taal04!$B$24</f>
        <v>Eindstand</v>
      </c>
      <c r="U24" s="1143"/>
      <c r="V24" s="1143"/>
      <c r="W24" s="60"/>
      <c r="X24" s="17"/>
      <c r="Y24" s="4" t="s">
        <v>24</v>
      </c>
      <c r="Z24" s="4" t="s">
        <v>25</v>
      </c>
      <c r="AA24" s="138" t="s">
        <v>0</v>
      </c>
      <c r="AB24" s="4" t="s">
        <v>24</v>
      </c>
      <c r="AC24" s="4" t="s">
        <v>25</v>
      </c>
      <c r="AD24" s="138" t="s">
        <v>0</v>
      </c>
      <c r="AE24" s="849"/>
      <c r="AF24" s="251">
        <v>14</v>
      </c>
      <c r="AG24" s="106" t="str">
        <f t="shared" si="0"/>
        <v>21|</v>
      </c>
      <c r="AH24" s="171" t="str">
        <f ca="1">RIGHT(AJ19,1)&amp;4</f>
        <v>B4</v>
      </c>
      <c r="AI24" s="168">
        <f ca="1">$AX$84</f>
        <v>1</v>
      </c>
      <c r="AJ24" s="150" t="str">
        <f ca="1">VLOOKUP(AH24,Voorblad!$X$67:$Z$98,2,FALSE)</f>
        <v>Albanië</v>
      </c>
      <c r="AK24" s="149" t="str">
        <f ca="1">VLOOKUP(AH24,Voorblad!$X$67:$Z$98,3,FALSE)</f>
        <v>AL</v>
      </c>
      <c r="AL24" s="208">
        <f>IF(ISNUMBER(T29),T29,0)</f>
        <v>0</v>
      </c>
      <c r="AM24" s="209">
        <f>IF(ISNUMBER(V27),V27,0)</f>
        <v>0</v>
      </c>
      <c r="AN24" s="209">
        <f>IF(ISNUMBER(V26),V26,0)</f>
        <v>1</v>
      </c>
      <c r="AO24" s="210">
        <v>0</v>
      </c>
      <c r="AP24" s="428">
        <f>IF(AD29&lt;&gt;"FOUT",IF(AL24&gt;AO21,3,IF(AL24=AO21,1,0)),0)+IF(AD27&lt;&gt;"FOUT",IF(AM24&gt;AO22,3,IF(AM24=AO22,1,0)),0)+IF(AD26&lt;&gt;"FOUT",IF(AN24&gt;AO23,3,IF(AN24=AO23,1,0)),0)</f>
        <v>0</v>
      </c>
      <c r="AQ24" s="148">
        <f>SUM(AL24:AO24)</f>
        <v>1</v>
      </c>
      <c r="AR24" s="147">
        <f>SUM(AO21:AO24)</f>
        <v>7</v>
      </c>
      <c r="AS24" s="149">
        <f>IF($AP24=$AP21,AL24,0)</f>
        <v>0</v>
      </c>
      <c r="AT24" s="146">
        <f>IF($AP24=$AP22,AM24,0)</f>
        <v>0</v>
      </c>
      <c r="AU24" s="146">
        <f>IF($AP24=$AP23,AN24,0)</f>
        <v>0</v>
      </c>
      <c r="AV24" s="201">
        <v>0</v>
      </c>
      <c r="AW24" s="145">
        <f>IF(AS24&gt;AV21,3,IF(AS24=AV21,1,0))+IF(AT24&gt;AV22,3,IF(AT24=AV22,1,0))+IF(AU24&gt;AV23,3,IF(AU24=AV23,1,0))</f>
        <v>3</v>
      </c>
      <c r="AX24" s="148">
        <f>SUM(AS24:AV24)</f>
        <v>0</v>
      </c>
      <c r="AY24" s="147">
        <f>SUM(AV21:AV24)</f>
        <v>0</v>
      </c>
      <c r="AZ24" s="213">
        <f ca="1">AP24*10000000000000+(500+AQ24-AR24)*10000000000+AQ24*100000000+AW24*1000000+(500+AX24-AY24)*1000+AX24*10+AI24</f>
        <v>4940103500001</v>
      </c>
      <c r="BA24" s="216">
        <f ca="1">RANK(AZ24,AZ21:AZ24)</f>
        <v>4</v>
      </c>
    </row>
    <row r="25" spans="1:53" ht="15" customHeight="1" x14ac:dyDescent="0.25">
      <c r="A25" s="166"/>
      <c r="B25" s="17"/>
      <c r="C25" s="949"/>
      <c r="D25" s="6" t="str">
        <f>"01"</f>
        <v>01</v>
      </c>
      <c r="E25" s="11">
        <f>DATE(2024,6,14)+TIME(21,0,0)</f>
        <v>45457.875</v>
      </c>
      <c r="F25" s="134">
        <f t="shared" ref="F25:F30" si="1">E25+TIME(0,0,0)</f>
        <v>45457.875</v>
      </c>
      <c r="G25" s="8" t="str">
        <f ca="1">AJ12</f>
        <v>Duitsland</v>
      </c>
      <c r="H25" s="7" t="s">
        <v>12</v>
      </c>
      <c r="I25" s="327" t="str">
        <f ca="1">AJ13</f>
        <v>Schotland</v>
      </c>
      <c r="J25" s="353">
        <v>2</v>
      </c>
      <c r="K25" s="54" t="s">
        <v>12</v>
      </c>
      <c r="L25" s="353">
        <v>0</v>
      </c>
      <c r="M25" s="9"/>
      <c r="N25" s="6" t="str">
        <f>"03"</f>
        <v>03</v>
      </c>
      <c r="O25" s="11">
        <f>DATE(2024,6,15)+TIME(18,0,0)</f>
        <v>45458.75</v>
      </c>
      <c r="P25" s="134">
        <f t="shared" ref="P25:P30" si="2">O25+TIME(0,0,0)</f>
        <v>45458.75</v>
      </c>
      <c r="Q25" s="8" t="str">
        <f ca="1">AJ21</f>
        <v>Spanje</v>
      </c>
      <c r="R25" s="7" t="s">
        <v>12</v>
      </c>
      <c r="S25" s="327" t="str">
        <f ca="1">AJ22</f>
        <v>Kroatië</v>
      </c>
      <c r="T25" s="353">
        <v>2</v>
      </c>
      <c r="U25" s="54" t="s">
        <v>12</v>
      </c>
      <c r="V25" s="353">
        <v>2</v>
      </c>
      <c r="W25" s="60"/>
      <c r="X25" s="17"/>
      <c r="Y25" s="4" t="str">
        <f t="shared" ref="Y25:Y30" si="3">IF(ISBLANK(J25),"LEEG",IF(TYPE(J25)=1,IF(AND(J25&lt;10,J25&gt;=0),IF(J25=ROUND(J25,0),"GOED","ONGELDIG"),"HOOG"),"ONGELDIG"))</f>
        <v>GOED</v>
      </c>
      <c r="Z25" s="4" t="str">
        <f t="shared" ref="Z25:Z30" si="4">IF(ISBLANK(L25),"LEEG",IF(TYPE(L25)=1,IF(AND(L25&lt;10,L25&gt;=0),IF(L25=ROUND(L25,0),"GOED","ONGELDIG"),"HOOG"),"ONGELDIG"))</f>
        <v>GOED</v>
      </c>
      <c r="AA25" s="138" t="str">
        <f t="shared" ref="AA25:AA30" si="5">IF(Y25="GOED",IF(Z25="GOED",J25&amp;L25&amp;"|","FOUT"),"FOUT")</f>
        <v>20|</v>
      </c>
      <c r="AB25" s="4" t="str">
        <f t="shared" ref="AB25:AB30" si="6">IF(ISBLANK(T25),"LEEG",IF(TYPE(T25)=1,IF(AND(T25&lt;10,T25&gt;=0),IF(T25=ROUND(T25,0),"GOED","ONGELDIG"),"HOOG"),"ONGELDIG"))</f>
        <v>GOED</v>
      </c>
      <c r="AC25" s="4" t="str">
        <f t="shared" ref="AC25:AC30" si="7">IF(ISBLANK(V25),"LEEG",IF(TYPE(V25)=1,IF(AND(V25&lt;10,V25&gt;=0),IF(V25=ROUND(V25,0),"GOED","ONGELDIG"),"HOOG"),"ONGELDIG"))</f>
        <v>GOED</v>
      </c>
      <c r="AD25" s="138" t="str">
        <f t="shared" ref="AD25:AD30" si="8">IF(AB25="GOED",IF(AC25="GOED",T25&amp;V25&amp;"|","FOUT"),"FOUT")</f>
        <v>22|</v>
      </c>
      <c r="AE25" s="285">
        <f t="shared" ref="AE25:AE30" si="9">IF(AND(Y25="GOED",Z25="GOED",AB25="GOED",AB25="GOED"),IF(J25+L25&gt;T25+V25,J25+L25,T25+V25),IF(AND(Y25="GOED",Z25="GOED"),J25+L25,IF(AND(AB25="GOED",AB25="GOED"),T25+V25,0)))</f>
        <v>4</v>
      </c>
      <c r="AF25" s="251">
        <v>13</v>
      </c>
      <c r="AG25" s="106" t="str">
        <f t="shared" si="0"/>
        <v>01|</v>
      </c>
      <c r="AH25" s="70"/>
      <c r="AI25" s="70"/>
      <c r="AJ25" s="70" t="s">
        <v>230</v>
      </c>
      <c r="AK25" s="70" t="str">
        <f>IF(COUNTIF(AB25:AC30,"GOED")=12,"JA","NEE")</f>
        <v>JA</v>
      </c>
      <c r="AL25" s="69"/>
      <c r="AM25" s="69"/>
      <c r="AN25" s="69"/>
      <c r="AO25" s="69"/>
      <c r="AP25" s="69"/>
      <c r="AQ25" s="69"/>
      <c r="AR25" s="69"/>
      <c r="AS25" s="182"/>
      <c r="AT25" s="182"/>
      <c r="AU25" s="182"/>
      <c r="AV25" s="182"/>
      <c r="AW25" s="182"/>
      <c r="AX25" s="182"/>
      <c r="AY25" s="182"/>
      <c r="AZ25" s="182"/>
      <c r="BA25" s="70"/>
    </row>
    <row r="26" spans="1:53" ht="15" customHeight="1" x14ac:dyDescent="0.25">
      <c r="B26" s="17"/>
      <c r="C26" s="949"/>
      <c r="D26" s="6" t="str">
        <f>"02"</f>
        <v>02</v>
      </c>
      <c r="E26" s="11">
        <f>DATE(2024,6,15)+TIME(15,0,0)</f>
        <v>45458.625</v>
      </c>
      <c r="F26" s="134">
        <f t="shared" si="1"/>
        <v>45458.625</v>
      </c>
      <c r="G26" s="8" t="str">
        <f ca="1">AJ14</f>
        <v>Hongarije</v>
      </c>
      <c r="H26" s="7" t="s">
        <v>12</v>
      </c>
      <c r="I26" s="327" t="str">
        <f ca="1">AJ15</f>
        <v>Zwitserland</v>
      </c>
      <c r="J26" s="353">
        <v>1</v>
      </c>
      <c r="K26" s="54" t="s">
        <v>12</v>
      </c>
      <c r="L26" s="353">
        <v>1</v>
      </c>
      <c r="M26" s="9"/>
      <c r="N26" s="6" t="str">
        <f>"04"</f>
        <v>04</v>
      </c>
      <c r="O26" s="11">
        <f>DATE(2024,6,15)+TIME(21,0,0)</f>
        <v>45458.875</v>
      </c>
      <c r="P26" s="134">
        <f t="shared" si="2"/>
        <v>45458.875</v>
      </c>
      <c r="Q26" s="8" t="str">
        <f ca="1">AJ23</f>
        <v>Italië</v>
      </c>
      <c r="R26" s="7" t="s">
        <v>12</v>
      </c>
      <c r="S26" s="327" t="str">
        <f ca="1">AJ24</f>
        <v>Albanië</v>
      </c>
      <c r="T26" s="353">
        <v>2</v>
      </c>
      <c r="U26" s="54" t="s">
        <v>12</v>
      </c>
      <c r="V26" s="353">
        <v>1</v>
      </c>
      <c r="W26" s="60"/>
      <c r="X26" s="17"/>
      <c r="Y26" s="4" t="str">
        <f t="shared" si="3"/>
        <v>GOED</v>
      </c>
      <c r="Z26" s="4" t="str">
        <f t="shared" si="4"/>
        <v>GOED</v>
      </c>
      <c r="AA26" s="138" t="str">
        <f t="shared" si="5"/>
        <v>11|</v>
      </c>
      <c r="AB26" s="4" t="str">
        <f t="shared" si="6"/>
        <v>GOED</v>
      </c>
      <c r="AC26" s="4" t="str">
        <f t="shared" si="7"/>
        <v>GOED</v>
      </c>
      <c r="AD26" s="138" t="str">
        <f t="shared" si="8"/>
        <v>21|</v>
      </c>
      <c r="AE26" s="285">
        <f t="shared" si="9"/>
        <v>3</v>
      </c>
      <c r="AF26" s="251">
        <v>18</v>
      </c>
      <c r="AG26" s="106" t="str">
        <f t="shared" ca="1" si="0"/>
        <v>12|</v>
      </c>
      <c r="AH26" s="1116"/>
      <c r="AI26" s="1116"/>
      <c r="AJ26" s="70"/>
      <c r="AK26" s="1116" t="s">
        <v>175</v>
      </c>
      <c r="AL26" s="1116" t="str">
        <f ca="1">AJ30</f>
        <v>Slovenië</v>
      </c>
      <c r="AM26" s="1116" t="str">
        <f ca="1">AJ31</f>
        <v>Denemarken</v>
      </c>
      <c r="AN26" s="1116" t="str">
        <f ca="1">AJ32</f>
        <v>Servië</v>
      </c>
      <c r="AO26" s="1116" t="str">
        <f ca="1">AJ33</f>
        <v>Engeland</v>
      </c>
      <c r="AP26" s="1116" t="s">
        <v>98</v>
      </c>
      <c r="AQ26" s="1116" t="s">
        <v>174</v>
      </c>
      <c r="AR26" s="1116" t="s">
        <v>173</v>
      </c>
      <c r="AS26" s="1116" t="str">
        <f ca="1">"Gelijk met "&amp;AH30</f>
        <v>Gelijk met C1</v>
      </c>
      <c r="AT26" s="1116" t="str">
        <f ca="1">"Gelijk met "&amp;AH31</f>
        <v>Gelijk met C2</v>
      </c>
      <c r="AU26" s="1116" t="str">
        <f ca="1">"Gelijk met "&amp;AH32</f>
        <v>Gelijk met C3</v>
      </c>
      <c r="AV26" s="1116" t="str">
        <f ca="1">"Gelijk met "&amp;AH33</f>
        <v>Gelijk met C4</v>
      </c>
      <c r="AW26" s="1116" t="s">
        <v>98</v>
      </c>
      <c r="AX26" s="1116" t="s">
        <v>174</v>
      </c>
      <c r="AY26" s="1116" t="s">
        <v>173</v>
      </c>
      <c r="AZ26" s="1116" t="s">
        <v>231</v>
      </c>
      <c r="BA26" s="1116" t="s">
        <v>73</v>
      </c>
    </row>
    <row r="27" spans="1:53" ht="15" customHeight="1" x14ac:dyDescent="0.25">
      <c r="B27" s="17"/>
      <c r="C27" s="949"/>
      <c r="D27" s="6">
        <v>14</v>
      </c>
      <c r="E27" s="11">
        <f>DATE(2024,6,19)+TIME(18,0,0)</f>
        <v>45462.75</v>
      </c>
      <c r="F27" s="134">
        <f t="shared" si="1"/>
        <v>45462.75</v>
      </c>
      <c r="G27" s="8" t="str">
        <f ca="1">AJ12</f>
        <v>Duitsland</v>
      </c>
      <c r="H27" s="7" t="s">
        <v>12</v>
      </c>
      <c r="I27" s="327" t="str">
        <f ca="1">AJ14</f>
        <v>Hongarije</v>
      </c>
      <c r="J27" s="353">
        <v>2</v>
      </c>
      <c r="K27" s="54" t="s">
        <v>12</v>
      </c>
      <c r="L27" s="353">
        <v>1</v>
      </c>
      <c r="M27" s="9"/>
      <c r="N27" s="6">
        <v>15</v>
      </c>
      <c r="O27" s="11">
        <f>DATE(2024,6,19)+TIME(15,0,0)</f>
        <v>45462.625</v>
      </c>
      <c r="P27" s="134">
        <f t="shared" si="2"/>
        <v>45462.625</v>
      </c>
      <c r="Q27" s="440" t="str">
        <f ca="1">AJ22</f>
        <v>Kroatië</v>
      </c>
      <c r="R27" s="441" t="s">
        <v>12</v>
      </c>
      <c r="S27" s="442" t="str">
        <f ca="1">AJ24</f>
        <v>Albanië</v>
      </c>
      <c r="T27" s="353">
        <v>2</v>
      </c>
      <c r="U27" s="54" t="s">
        <v>12</v>
      </c>
      <c r="V27" s="353">
        <v>0</v>
      </c>
      <c r="W27" s="60"/>
      <c r="X27" s="17"/>
      <c r="Y27" s="4" t="str">
        <f t="shared" si="3"/>
        <v>GOED</v>
      </c>
      <c r="Z27" s="4" t="str">
        <f t="shared" si="4"/>
        <v>GOED</v>
      </c>
      <c r="AA27" s="138" t="str">
        <f t="shared" si="5"/>
        <v>21|</v>
      </c>
      <c r="AB27" s="4" t="str">
        <f t="shared" si="6"/>
        <v>GOED</v>
      </c>
      <c r="AC27" s="4" t="str">
        <f t="shared" si="7"/>
        <v>GOED</v>
      </c>
      <c r="AD27" s="138" t="str">
        <f t="shared" si="8"/>
        <v>20|</v>
      </c>
      <c r="AE27" s="285">
        <f t="shared" si="9"/>
        <v>3</v>
      </c>
      <c r="AF27" s="251">
        <v>17</v>
      </c>
      <c r="AG27" s="106" t="str">
        <f t="shared" ca="1" si="0"/>
        <v>21|</v>
      </c>
      <c r="AH27" s="1116"/>
      <c r="AI27" s="1116"/>
      <c r="AJ27" s="70"/>
      <c r="AK27" s="1116"/>
      <c r="AL27" s="1116"/>
      <c r="AM27" s="1116"/>
      <c r="AN27" s="1116"/>
      <c r="AO27" s="1116"/>
      <c r="AP27" s="1116"/>
      <c r="AQ27" s="1116"/>
      <c r="AR27" s="1116"/>
      <c r="AS27" s="1116"/>
      <c r="AT27" s="1116"/>
      <c r="AU27" s="1116"/>
      <c r="AV27" s="1116"/>
      <c r="AW27" s="1116"/>
      <c r="AX27" s="1116"/>
      <c r="AY27" s="1116"/>
      <c r="AZ27" s="1116"/>
      <c r="BA27" s="1116"/>
    </row>
    <row r="28" spans="1:53" ht="15" customHeight="1" x14ac:dyDescent="0.25">
      <c r="B28" s="17"/>
      <c r="C28" s="949"/>
      <c r="D28" s="6">
        <v>13</v>
      </c>
      <c r="E28" s="11">
        <f>DATE(2024,6,19)+TIME(21,0,0)</f>
        <v>45462.875</v>
      </c>
      <c r="F28" s="134">
        <f t="shared" si="1"/>
        <v>45462.875</v>
      </c>
      <c r="G28" s="8" t="str">
        <f ca="1">AJ13</f>
        <v>Schotland</v>
      </c>
      <c r="H28" s="7" t="s">
        <v>12</v>
      </c>
      <c r="I28" s="327" t="str">
        <f ca="1">AJ15</f>
        <v>Zwitserland</v>
      </c>
      <c r="J28" s="353">
        <v>0</v>
      </c>
      <c r="K28" s="54" t="s">
        <v>12</v>
      </c>
      <c r="L28" s="353">
        <v>1</v>
      </c>
      <c r="M28" s="9"/>
      <c r="N28" s="6">
        <v>16</v>
      </c>
      <c r="O28" s="11">
        <f>DATE(2024,6,20)+TIME(21,0,0)</f>
        <v>45463.875</v>
      </c>
      <c r="P28" s="134">
        <f t="shared" si="2"/>
        <v>45463.875</v>
      </c>
      <c r="Q28" s="8" t="str">
        <f ca="1">AJ21</f>
        <v>Spanje</v>
      </c>
      <c r="R28" s="7" t="s">
        <v>12</v>
      </c>
      <c r="S28" s="327" t="str">
        <f ca="1">AJ23</f>
        <v>Italië</v>
      </c>
      <c r="T28" s="353">
        <v>2</v>
      </c>
      <c r="U28" s="54" t="s">
        <v>12</v>
      </c>
      <c r="V28" s="353">
        <v>1</v>
      </c>
      <c r="W28" s="60"/>
      <c r="X28" s="17"/>
      <c r="Y28" s="4" t="str">
        <f t="shared" si="3"/>
        <v>GOED</v>
      </c>
      <c r="Z28" s="4" t="str">
        <f t="shared" si="4"/>
        <v>GOED</v>
      </c>
      <c r="AA28" s="138" t="str">
        <f t="shared" si="5"/>
        <v>01|</v>
      </c>
      <c r="AB28" s="4" t="str">
        <f t="shared" si="6"/>
        <v>GOED</v>
      </c>
      <c r="AC28" s="4" t="str">
        <f t="shared" si="7"/>
        <v>GOED</v>
      </c>
      <c r="AD28" s="138" t="str">
        <f t="shared" si="8"/>
        <v>21|</v>
      </c>
      <c r="AE28" s="285">
        <f t="shared" si="9"/>
        <v>3</v>
      </c>
      <c r="AF28" s="251">
        <v>16</v>
      </c>
      <c r="AG28" s="106" t="str">
        <f t="shared" ca="1" si="0"/>
        <v>21|</v>
      </c>
      <c r="AH28" s="1116"/>
      <c r="AI28" s="1116"/>
      <c r="AJ28" s="161" t="str">
        <f ca="1">D33</f>
        <v>Groep C</v>
      </c>
      <c r="AK28" s="1116"/>
      <c r="AL28" s="1116"/>
      <c r="AM28" s="1116"/>
      <c r="AN28" s="1116"/>
      <c r="AO28" s="1116"/>
      <c r="AP28" s="1116"/>
      <c r="AQ28" s="1116"/>
      <c r="AR28" s="1116"/>
      <c r="AS28" s="1116"/>
      <c r="AT28" s="1116"/>
      <c r="AU28" s="1116"/>
      <c r="AV28" s="1116"/>
      <c r="AW28" s="1116"/>
      <c r="AX28" s="1116"/>
      <c r="AY28" s="1116"/>
      <c r="AZ28" s="1116"/>
      <c r="BA28" s="1116"/>
    </row>
    <row r="29" spans="1:53" ht="15" customHeight="1" x14ac:dyDescent="0.25">
      <c r="B29" s="17"/>
      <c r="C29" s="949"/>
      <c r="D29" s="6">
        <v>25</v>
      </c>
      <c r="E29" s="11">
        <f>DATE(2024,6,23)+TIME(21,0,0)</f>
        <v>45466.875</v>
      </c>
      <c r="F29" s="134">
        <f t="shared" si="1"/>
        <v>45466.875</v>
      </c>
      <c r="G29" s="8" t="str">
        <f ca="1">AJ15</f>
        <v>Zwitserland</v>
      </c>
      <c r="H29" s="7" t="s">
        <v>12</v>
      </c>
      <c r="I29" s="327" t="str">
        <f ca="1">AJ12</f>
        <v>Duitsland</v>
      </c>
      <c r="J29" s="353">
        <v>1</v>
      </c>
      <c r="K29" s="54" t="s">
        <v>12</v>
      </c>
      <c r="L29" s="353">
        <v>2</v>
      </c>
      <c r="M29" s="9"/>
      <c r="N29" s="6">
        <v>27</v>
      </c>
      <c r="O29" s="11">
        <f>DATE(2024,6,24)+TIME(21,0,0)</f>
        <v>45467.875</v>
      </c>
      <c r="P29" s="134">
        <f t="shared" si="2"/>
        <v>45467.875</v>
      </c>
      <c r="Q29" s="8" t="str">
        <f ca="1">AJ24</f>
        <v>Albanië</v>
      </c>
      <c r="R29" s="7" t="s">
        <v>12</v>
      </c>
      <c r="S29" s="327" t="str">
        <f ca="1">AJ21</f>
        <v>Spanje</v>
      </c>
      <c r="T29" s="353">
        <v>0</v>
      </c>
      <c r="U29" s="54" t="s">
        <v>12</v>
      </c>
      <c r="V29" s="353">
        <v>3</v>
      </c>
      <c r="W29" s="60"/>
      <c r="X29" s="17"/>
      <c r="Y29" s="4" t="str">
        <f t="shared" si="3"/>
        <v>GOED</v>
      </c>
      <c r="Z29" s="4" t="str">
        <f t="shared" si="4"/>
        <v>GOED</v>
      </c>
      <c r="AA29" s="138" t="str">
        <f t="shared" si="5"/>
        <v>12|</v>
      </c>
      <c r="AB29" s="4" t="str">
        <f t="shared" si="6"/>
        <v>GOED</v>
      </c>
      <c r="AC29" s="4" t="str">
        <f t="shared" si="7"/>
        <v>GOED</v>
      </c>
      <c r="AD29" s="138" t="str">
        <f t="shared" si="8"/>
        <v>03|</v>
      </c>
      <c r="AE29" s="285">
        <f t="shared" si="9"/>
        <v>3</v>
      </c>
      <c r="AF29" s="106">
        <v>21</v>
      </c>
      <c r="AG29" s="106" t="str">
        <f t="shared" ca="1" si="0"/>
        <v>00|</v>
      </c>
      <c r="AH29" s="1116"/>
      <c r="AI29" s="1116"/>
      <c r="AJ29" s="70" t="s">
        <v>17</v>
      </c>
      <c r="AK29" s="1116"/>
      <c r="AL29" s="1116"/>
      <c r="AM29" s="1116"/>
      <c r="AN29" s="1116"/>
      <c r="AO29" s="1116"/>
      <c r="AP29" s="1116"/>
      <c r="AQ29" s="1116"/>
      <c r="AR29" s="1116"/>
      <c r="AS29" s="1116"/>
      <c r="AT29" s="1116"/>
      <c r="AU29" s="1116"/>
      <c r="AV29" s="1116"/>
      <c r="AW29" s="1116"/>
      <c r="AX29" s="1116"/>
      <c r="AY29" s="1116"/>
      <c r="AZ29" s="1116"/>
      <c r="BA29" s="1116"/>
    </row>
    <row r="30" spans="1:53" ht="15" customHeight="1" x14ac:dyDescent="0.25">
      <c r="B30" s="17"/>
      <c r="C30" s="949"/>
      <c r="D30" s="6">
        <v>26</v>
      </c>
      <c r="E30" s="11">
        <f>E29</f>
        <v>45466.875</v>
      </c>
      <c r="F30" s="134">
        <f t="shared" si="1"/>
        <v>45466.875</v>
      </c>
      <c r="G30" s="8" t="str">
        <f ca="1">AJ13</f>
        <v>Schotland</v>
      </c>
      <c r="H30" s="7" t="s">
        <v>12</v>
      </c>
      <c r="I30" s="327" t="str">
        <f ca="1">AJ14</f>
        <v>Hongarije</v>
      </c>
      <c r="J30" s="353">
        <v>0</v>
      </c>
      <c r="K30" s="54" t="s">
        <v>12</v>
      </c>
      <c r="L30" s="353">
        <v>2</v>
      </c>
      <c r="M30" s="9"/>
      <c r="N30" s="6">
        <v>28</v>
      </c>
      <c r="O30" s="11">
        <f>O29</f>
        <v>45467.875</v>
      </c>
      <c r="P30" s="134">
        <f t="shared" si="2"/>
        <v>45467.875</v>
      </c>
      <c r="Q30" s="8" t="str">
        <f ca="1">AJ22</f>
        <v>Kroatië</v>
      </c>
      <c r="R30" s="7" t="s">
        <v>12</v>
      </c>
      <c r="S30" s="327" t="str">
        <f ca="1">AJ23</f>
        <v>Italië</v>
      </c>
      <c r="T30" s="353">
        <v>1</v>
      </c>
      <c r="U30" s="54" t="s">
        <v>12</v>
      </c>
      <c r="V30" s="353">
        <v>0</v>
      </c>
      <c r="W30" s="60"/>
      <c r="X30" s="17"/>
      <c r="Y30" s="4" t="str">
        <f t="shared" si="3"/>
        <v>GOED</v>
      </c>
      <c r="Z30" s="4" t="str">
        <f t="shared" si="4"/>
        <v>GOED</v>
      </c>
      <c r="AA30" s="138" t="str">
        <f t="shared" si="5"/>
        <v>02|</v>
      </c>
      <c r="AB30" s="4" t="str">
        <f t="shared" si="6"/>
        <v>GOED</v>
      </c>
      <c r="AC30" s="4" t="str">
        <f t="shared" si="7"/>
        <v>GOED</v>
      </c>
      <c r="AD30" s="138" t="str">
        <f t="shared" si="8"/>
        <v>10|</v>
      </c>
      <c r="AE30" s="285">
        <f t="shared" si="9"/>
        <v>2</v>
      </c>
      <c r="AF30" s="106">
        <v>19</v>
      </c>
      <c r="AG30" s="106" t="str">
        <f t="shared" ca="1" si="0"/>
        <v>12|</v>
      </c>
      <c r="AH30" s="171" t="str">
        <f ca="1">RIGHT(AJ28,1)&amp;1</f>
        <v>C1</v>
      </c>
      <c r="AI30" s="168">
        <f ca="1">$AU$85</f>
        <v>4</v>
      </c>
      <c r="AJ30" s="160" t="str">
        <f ca="1">VLOOKUP(AH30,Voorblad!$X$67:$Z$98,2,FALSE)</f>
        <v>Slovenië</v>
      </c>
      <c r="AK30" s="159" t="str">
        <f ca="1">VLOOKUP(AH30,Voorblad!$X$67:$Z$98,3,FALSE)</f>
        <v>SI</v>
      </c>
      <c r="AL30" s="203">
        <v>0</v>
      </c>
      <c r="AM30" s="206">
        <f>IF(ISNUMBER(J35),J35,0)</f>
        <v>0</v>
      </c>
      <c r="AN30" s="206">
        <f>IF(ISNUMBER(J37),J37,0)</f>
        <v>1</v>
      </c>
      <c r="AO30" s="206">
        <f>IF(ISNUMBER(L39),L39,0)</f>
        <v>0</v>
      </c>
      <c r="AP30" s="155">
        <f>IF(AA35&lt;&gt;"FOUT",IF(AM30&gt;AL31,3,IF(AM30=AL31,1,0)),0)+IF(AA37&lt;&gt;"FOUT",IF(AN30&gt;AL32,3,IF(AN30=AL32,1,0)),0)+IF(AA39&lt;&gt;"FOUT",IF(AO30&gt;AL33,3,IF(AO30=AL33,1,0)),0)</f>
        <v>0</v>
      </c>
      <c r="AQ30" s="158">
        <f>SUM(AL30:AO30)</f>
        <v>1</v>
      </c>
      <c r="AR30" s="157">
        <f>SUM(AL30:AL33)</f>
        <v>7</v>
      </c>
      <c r="AS30" s="203">
        <v>0</v>
      </c>
      <c r="AT30" s="156">
        <f>IF($AP30=$AP31,AM30,0)</f>
        <v>0</v>
      </c>
      <c r="AU30" s="156">
        <f>IF($AP30=$AP32,AN30,0)</f>
        <v>0</v>
      </c>
      <c r="AV30" s="199">
        <f>IF($AP30=$AP33,AO30,0)</f>
        <v>0</v>
      </c>
      <c r="AW30" s="155">
        <f>IF(AT30&gt;AS31,3,IF(AT30=AS31,1,0))+IF(AU30&gt;AS32,3,IF(AU30=AS32,1,0))+IF(AV30&gt;AS33,3,IF(AV30=AS33,1,0))</f>
        <v>3</v>
      </c>
      <c r="AX30" s="158">
        <f>SUM(AS30:AV30)</f>
        <v>0</v>
      </c>
      <c r="AY30" s="157">
        <f>SUM(AS30:AS33)</f>
        <v>0</v>
      </c>
      <c r="AZ30" s="211">
        <f ca="1">AP30*10000000000000+(500+AQ30-AR30)*10000000000+AQ30*100000000+AW30*1000000+(500+AX30-AY30)*1000+AX30*10+AI30</f>
        <v>4940103500004</v>
      </c>
      <c r="BA30" s="214">
        <f ca="1">RANK(AZ30,AZ30:AZ33)</f>
        <v>4</v>
      </c>
    </row>
    <row r="31" spans="1:53" ht="15" customHeight="1" x14ac:dyDescent="0.25">
      <c r="B31" s="17"/>
      <c r="C31" s="949"/>
      <c r="D31" s="351"/>
      <c r="E31" s="348"/>
      <c r="F31" s="248"/>
      <c r="G31" s="249"/>
      <c r="H31" s="349"/>
      <c r="I31" s="250"/>
      <c r="J31" s="17"/>
      <c r="K31" s="17"/>
      <c r="L31" s="17"/>
      <c r="M31" s="9"/>
      <c r="N31" s="351"/>
      <c r="O31" s="348"/>
      <c r="P31" s="248"/>
      <c r="Q31" s="249"/>
      <c r="R31" s="349"/>
      <c r="S31" s="250"/>
      <c r="T31" s="17"/>
      <c r="U31" s="17"/>
      <c r="V31" s="17"/>
      <c r="W31" s="60"/>
      <c r="X31" s="17"/>
      <c r="Y31" s="4"/>
      <c r="Z31" s="4"/>
      <c r="AA31" s="138"/>
      <c r="AB31" s="4"/>
      <c r="AC31" s="4"/>
      <c r="AD31" s="138"/>
      <c r="AE31" s="849"/>
      <c r="AF31" s="251">
        <v>20</v>
      </c>
      <c r="AG31" s="106" t="str">
        <f t="shared" ca="1" si="0"/>
        <v>12|</v>
      </c>
      <c r="AH31" s="171" t="str">
        <f ca="1">RIGHT(AJ28,1)&amp;2</f>
        <v>C2</v>
      </c>
      <c r="AI31" s="168">
        <f ca="1">$AV$85</f>
        <v>1</v>
      </c>
      <c r="AJ31" s="154" t="str">
        <f ca="1">VLOOKUP(AH31,Voorblad!$X$67:$Z$98,2,FALSE)</f>
        <v>Denemarken</v>
      </c>
      <c r="AK31" s="110" t="str">
        <f ca="1">VLOOKUP(AH31,Voorblad!$X$67:$Z$98,3,FALSE)</f>
        <v>DK</v>
      </c>
      <c r="AL31" s="207">
        <f>IF(ISNUMBER(L35),L35,0)</f>
        <v>1</v>
      </c>
      <c r="AM31" s="202">
        <v>0</v>
      </c>
      <c r="AN31" s="163">
        <f>IF(ISNUMBER(J40),J40,0)</f>
        <v>1</v>
      </c>
      <c r="AO31" s="163">
        <f>IF(ISNUMBER(L38),L38,0)</f>
        <v>1</v>
      </c>
      <c r="AP31" s="151">
        <f>IF(AA35&lt;&gt;"FOUT",IF(AL31&gt;AM30,3,IF(AL31=AM30,1,0)),0)+IF(AA40&lt;&gt;"FOUT",IF(AN31&gt;AM32,3,IF(AN31=AM32,1,0)),0)+IF(AA38&lt;&gt;"FOUT",IF(AO31&gt;AM33,3,IF(AO31=AM33,1,0)),0)</f>
        <v>4</v>
      </c>
      <c r="AQ31" s="153">
        <f>SUM(AL31:AO31)</f>
        <v>3</v>
      </c>
      <c r="AR31" s="152">
        <f>SUM(AM30:AM33)</f>
        <v>3</v>
      </c>
      <c r="AS31" s="110">
        <f>IF($AP31=$AP30,AL31,0)</f>
        <v>0</v>
      </c>
      <c r="AT31" s="202">
        <v>0</v>
      </c>
      <c r="AU31" s="69">
        <f>IF($AP31=$AP32,AN31,0)</f>
        <v>1</v>
      </c>
      <c r="AV31" s="200">
        <f>IF($AP31=$AP33,AO31,0)</f>
        <v>0</v>
      </c>
      <c r="AW31" s="151">
        <f>IF(AS31&gt;AT30,3,IF(AS31=AT30,1,0))+IF(AU31&gt;AT32,3,IF(AU31=AT32,1,0))+IF(AV31&gt;AT33,3,IF(AV31=AT33,1,0))</f>
        <v>3</v>
      </c>
      <c r="AX31" s="153">
        <f>SUM(AS31:AV31)</f>
        <v>1</v>
      </c>
      <c r="AY31" s="152">
        <f>SUM(AT30:AT33)</f>
        <v>1</v>
      </c>
      <c r="AZ31" s="212">
        <f ca="1">AP31*10000000000000+(500+AQ31-AR31)*10000000000+AQ31*100000000+AW31*1000000+(500+AX31-AY31)*1000+AX31*10+AI31</f>
        <v>45000303500011</v>
      </c>
      <c r="BA31" s="215">
        <f ca="1">RANK(AZ31,AZ30:AZ33)</f>
        <v>2</v>
      </c>
    </row>
    <row r="32" spans="1:53" ht="15" customHeight="1" x14ac:dyDescent="0.25">
      <c r="B32" s="17"/>
      <c r="C32" s="949"/>
      <c r="D32" s="17"/>
      <c r="E32" s="17"/>
      <c r="F32" s="17"/>
      <c r="G32" s="17"/>
      <c r="H32" s="17"/>
      <c r="I32" s="17"/>
      <c r="J32" s="17"/>
      <c r="K32" s="17"/>
      <c r="L32" s="17"/>
      <c r="M32" s="17"/>
      <c r="N32" s="17"/>
      <c r="O32" s="17"/>
      <c r="P32" s="17"/>
      <c r="Q32" s="17"/>
      <c r="R32" s="17"/>
      <c r="S32" s="17"/>
      <c r="T32" s="17"/>
      <c r="U32" s="17"/>
      <c r="V32" s="17"/>
      <c r="W32" s="60"/>
      <c r="X32" s="17"/>
      <c r="Y32" s="4"/>
      <c r="Z32" s="4"/>
      <c r="AA32" s="4"/>
      <c r="AB32" s="4"/>
      <c r="AC32" s="4"/>
      <c r="AD32" s="1"/>
      <c r="AE32" s="849"/>
      <c r="AF32" s="251">
        <v>24</v>
      </c>
      <c r="AG32" s="106" t="str">
        <f t="shared" ca="1" si="0"/>
        <v>12|</v>
      </c>
      <c r="AH32" s="171" t="str">
        <f ca="1">RIGHT(AJ28,1)&amp;3</f>
        <v>C3</v>
      </c>
      <c r="AI32" s="168">
        <f ca="1">$AW$85</f>
        <v>3</v>
      </c>
      <c r="AJ32" s="154" t="str">
        <f ca="1">VLOOKUP(AH32,Voorblad!$X$67:$Z$98,2,FALSE)</f>
        <v>Servië</v>
      </c>
      <c r="AK32" s="110" t="str">
        <f ca="1">VLOOKUP(AH32,Voorblad!$X$67:$Z$98,3,FALSE)</f>
        <v>RS</v>
      </c>
      <c r="AL32" s="207">
        <f>IF(ISNUMBER(L37),L37,0)</f>
        <v>2</v>
      </c>
      <c r="AM32" s="163">
        <f>IF(ISNUMBER(L40),L40,0)</f>
        <v>1</v>
      </c>
      <c r="AN32" s="202">
        <v>0</v>
      </c>
      <c r="AO32" s="163">
        <f>IF(ISNUMBER(J36),J36,0)</f>
        <v>1</v>
      </c>
      <c r="AP32" s="151">
        <f>IF(AA37&lt;&gt;"FOUT",IF(AL32&gt;AN30,3,IF(AL32=AN30,1,0)),0)+IF(AA40&lt;&gt;"FOUT",IF(AM32&gt;AN31,3,IF(AM32=AN31,1,0)),0)+IF(AA36&lt;&gt;"FOUT",IF(AO32&gt;AN33,3,IF(AO32=AN33,1,0)),0)</f>
        <v>4</v>
      </c>
      <c r="AQ32" s="153">
        <f>SUM(AL32:AO32)</f>
        <v>4</v>
      </c>
      <c r="AR32" s="152">
        <f>SUM(AN30:AN33)</f>
        <v>5</v>
      </c>
      <c r="AS32" s="110">
        <f>IF($AP32=$AP30,AL32,0)</f>
        <v>0</v>
      </c>
      <c r="AT32" s="69">
        <f>IF($AP32=$AP31,AM32,0)</f>
        <v>1</v>
      </c>
      <c r="AU32" s="202">
        <v>0</v>
      </c>
      <c r="AV32" s="200">
        <f>IF($AP32=$AP33,AO32,0)</f>
        <v>0</v>
      </c>
      <c r="AW32" s="151">
        <f>IF(AS32&gt;AU30,3,IF(AS32=AU30,1,0))+IF(AT32&gt;AU31,3,IF(AT32=AU31,1,0))+IF(AV32&gt;AU33,3,IF(AV32=AU33,1,0))</f>
        <v>3</v>
      </c>
      <c r="AX32" s="153">
        <f>SUM(AS32:AV32)</f>
        <v>1</v>
      </c>
      <c r="AY32" s="152">
        <f>SUM(AU30:AU33)</f>
        <v>1</v>
      </c>
      <c r="AZ32" s="212">
        <f ca="1">AP32*10000000000000+(500+AQ32-AR32)*10000000000+AQ32*100000000+AW32*1000000+(500+AX32-AY32)*1000+AX32*10+AI32</f>
        <v>44990403500013</v>
      </c>
      <c r="BA32" s="215">
        <f ca="1">RANK(AZ32,AZ30:AZ33)</f>
        <v>3</v>
      </c>
    </row>
    <row r="33" spans="2:53" ht="20.100000000000001" customHeight="1" x14ac:dyDescent="0.4">
      <c r="B33" s="17"/>
      <c r="C33" s="949"/>
      <c r="D33" s="828" t="str">
        <f ca="1">Taal04!$B$26&amp;" C"</f>
        <v>Groep C</v>
      </c>
      <c r="E33" s="17"/>
      <c r="F33" s="17"/>
      <c r="G33" s="17"/>
      <c r="H33" s="17"/>
      <c r="I33" s="17"/>
      <c r="J33" s="17"/>
      <c r="K33" s="17"/>
      <c r="L33" s="17"/>
      <c r="M33" s="17"/>
      <c r="N33" s="828" t="str">
        <f ca="1">Taal04!$B$26&amp;" D"</f>
        <v>Groep D</v>
      </c>
      <c r="O33" s="17"/>
      <c r="P33" s="17"/>
      <c r="Q33" s="17"/>
      <c r="R33" s="17"/>
      <c r="S33" s="17"/>
      <c r="T33" s="17"/>
      <c r="U33" s="17"/>
      <c r="V33" s="17"/>
      <c r="W33" s="60"/>
      <c r="X33" s="17"/>
      <c r="Y33" s="1117" t="str">
        <f ca="1">"Controle "&amp;D33</f>
        <v>Controle Groep C</v>
      </c>
      <c r="Z33" s="1117"/>
      <c r="AA33" s="1117"/>
      <c r="AB33" s="1117" t="str">
        <f ca="1">"Controle "&amp;N33</f>
        <v>Controle Groep D</v>
      </c>
      <c r="AC33" s="1117"/>
      <c r="AD33" s="1117"/>
      <c r="AE33" s="849"/>
      <c r="AF33" s="251">
        <v>23</v>
      </c>
      <c r="AG33" s="106" t="str">
        <f t="shared" ca="1" si="0"/>
        <v>12|</v>
      </c>
      <c r="AH33" s="171" t="str">
        <f ca="1">RIGHT(AJ28,1)&amp;4</f>
        <v>C4</v>
      </c>
      <c r="AI33" s="168">
        <f ca="1">$AX$85</f>
        <v>2</v>
      </c>
      <c r="AJ33" s="150" t="str">
        <f ca="1">VLOOKUP(AH33,Voorblad!$X$67:$Z$98,2,FALSE)</f>
        <v>Engeland</v>
      </c>
      <c r="AK33" s="149" t="str">
        <f ca="1">VLOOKUP(AH33,Voorblad!$X$67:$Z$98,3,FALSE)</f>
        <v>GB</v>
      </c>
      <c r="AL33" s="208">
        <f>IF(ISNUMBER(J39),J39,0)</f>
        <v>4</v>
      </c>
      <c r="AM33" s="209">
        <f>IF(ISNUMBER(J38),J38,0)</f>
        <v>2</v>
      </c>
      <c r="AN33" s="209">
        <f>IF(ISNUMBER(L36),L36,0)</f>
        <v>3</v>
      </c>
      <c r="AO33" s="210">
        <v>0</v>
      </c>
      <c r="AP33" s="428">
        <f>IF(AA39&lt;&gt;"FOUT",IF(AL33&gt;AO30,3,IF(AL33=AO30,1,0)),0)+IF(AA38&lt;&gt;"FOUT",IF(AM33&gt;AO31,3,IF(AM33=AO31,1,0)),0)+IF(AA36&lt;&gt;"FOUT",IF(AN33&gt;AO32,3,IF(AN33=AO32,1,0)),0)</f>
        <v>9</v>
      </c>
      <c r="AQ33" s="148">
        <f>SUM(AL33:AO33)</f>
        <v>9</v>
      </c>
      <c r="AR33" s="147">
        <f>SUM(AO30:AO33)</f>
        <v>2</v>
      </c>
      <c r="AS33" s="149">
        <f>IF($AP33=$AP30,AL33,0)</f>
        <v>0</v>
      </c>
      <c r="AT33" s="146">
        <f>IF($AP33=$AP31,AM33,0)</f>
        <v>0</v>
      </c>
      <c r="AU33" s="146">
        <f>IF($AP33=$AP32,AN33,0)</f>
        <v>0</v>
      </c>
      <c r="AV33" s="201">
        <v>0</v>
      </c>
      <c r="AW33" s="145">
        <f>IF(AS33&gt;AV30,3,IF(AS33=AV30,1,0))+IF(AT33&gt;AV31,3,IF(AT33=AV31,1,0))+IF(AU33&gt;AV32,3,IF(AU33=AV32,1,0))</f>
        <v>3</v>
      </c>
      <c r="AX33" s="148">
        <f>SUM(AS33:AV33)</f>
        <v>0</v>
      </c>
      <c r="AY33" s="147">
        <f>SUM(AV30:AV33)</f>
        <v>0</v>
      </c>
      <c r="AZ33" s="213">
        <f ca="1">AP33*10000000000000+(500+AQ33-AR33)*10000000000+AQ33*100000000+AW33*1000000+(500+AX33-AY33)*1000+AX33*10+AI33</f>
        <v>95070903500002</v>
      </c>
      <c r="BA33" s="216">
        <f ca="1">RANK(AZ33,AZ30:AZ33)</f>
        <v>1</v>
      </c>
    </row>
    <row r="34" spans="2:53" ht="15" customHeight="1" x14ac:dyDescent="0.25">
      <c r="B34" s="17"/>
      <c r="C34" s="949"/>
      <c r="D34" s="107"/>
      <c r="E34" s="939" t="str">
        <f ca="1">Taal04!$B$20</f>
        <v>Datum</v>
      </c>
      <c r="F34" s="939" t="str">
        <f ca="1">Taal04!$B$21</f>
        <v>Tijd</v>
      </c>
      <c r="G34" s="1142" t="str">
        <f ca="1">Taal04!$B$22</f>
        <v>Wedstrijd</v>
      </c>
      <c r="H34" s="1142"/>
      <c r="I34" s="1142"/>
      <c r="J34" s="1142" t="str">
        <f ca="1">Taal04!$B$24</f>
        <v>Eindstand</v>
      </c>
      <c r="K34" s="1143"/>
      <c r="L34" s="1143"/>
      <c r="M34" s="17"/>
      <c r="N34" s="107"/>
      <c r="O34" s="939" t="str">
        <f ca="1">Taal04!$B$20</f>
        <v>Datum</v>
      </c>
      <c r="P34" s="939" t="str">
        <f ca="1">Taal04!$B$21</f>
        <v>Tijd</v>
      </c>
      <c r="Q34" s="1142" t="str">
        <f ca="1">Taal04!$B$22</f>
        <v>Wedstrijd</v>
      </c>
      <c r="R34" s="1142"/>
      <c r="S34" s="1142"/>
      <c r="T34" s="1142" t="str">
        <f ca="1">Taal04!$B$24</f>
        <v>Eindstand</v>
      </c>
      <c r="U34" s="1143"/>
      <c r="V34" s="1143"/>
      <c r="W34" s="60"/>
      <c r="X34" s="17"/>
      <c r="Y34" s="4" t="s">
        <v>24</v>
      </c>
      <c r="Z34" s="4" t="s">
        <v>25</v>
      </c>
      <c r="AA34" s="138" t="s">
        <v>0</v>
      </c>
      <c r="AB34" s="4" t="s">
        <v>24</v>
      </c>
      <c r="AC34" s="4" t="s">
        <v>25</v>
      </c>
      <c r="AD34" s="138" t="s">
        <v>0</v>
      </c>
      <c r="AE34" s="849"/>
      <c r="AF34" s="251">
        <v>22</v>
      </c>
      <c r="AG34" s="106" t="str">
        <f t="shared" ca="1" si="0"/>
        <v>30|</v>
      </c>
      <c r="AH34" s="70"/>
      <c r="AI34" s="70"/>
      <c r="AJ34" s="70" t="s">
        <v>230</v>
      </c>
      <c r="AK34" s="70" t="str">
        <f>IF(COUNTIF(Y35:Z40,"GOED")=12,"JA","NEE")</f>
        <v>JA</v>
      </c>
      <c r="AL34" s="69"/>
      <c r="AM34" s="69"/>
      <c r="AN34" s="69"/>
      <c r="AO34" s="69"/>
      <c r="AP34" s="69"/>
      <c r="AQ34" s="69"/>
      <c r="AR34" s="69"/>
      <c r="AS34" s="182"/>
      <c r="AT34" s="182"/>
      <c r="AU34" s="182"/>
      <c r="AV34" s="182"/>
      <c r="AW34" s="182"/>
      <c r="AX34" s="182"/>
      <c r="AY34" s="182"/>
      <c r="AZ34" s="182"/>
      <c r="BA34" s="70"/>
    </row>
    <row r="35" spans="2:53" ht="15" customHeight="1" x14ac:dyDescent="0.25">
      <c r="B35" s="17"/>
      <c r="C35" s="949"/>
      <c r="D35" s="6" t="str">
        <f>"06"</f>
        <v>06</v>
      </c>
      <c r="E35" s="11">
        <f>DATE(2024,6,16)+TIME(18,0,0)</f>
        <v>45459.75</v>
      </c>
      <c r="F35" s="134">
        <f t="shared" ref="F35:F40" si="10">E35+TIME(0,0,0)</f>
        <v>45459.75</v>
      </c>
      <c r="G35" s="440" t="str">
        <f ca="1">AJ30</f>
        <v>Slovenië</v>
      </c>
      <c r="H35" s="441" t="s">
        <v>12</v>
      </c>
      <c r="I35" s="442" t="str">
        <f ca="1">AJ31</f>
        <v>Denemarken</v>
      </c>
      <c r="J35" s="353">
        <v>0</v>
      </c>
      <c r="K35" s="54" t="s">
        <v>12</v>
      </c>
      <c r="L35" s="353">
        <v>1</v>
      </c>
      <c r="M35" s="9"/>
      <c r="N35" s="6" t="str">
        <f>"07"</f>
        <v>07</v>
      </c>
      <c r="O35" s="11">
        <f>DATE(2024,6,16)+TIME(15,0,0)</f>
        <v>45459.625</v>
      </c>
      <c r="P35" s="134">
        <f t="shared" ref="P35:P40" si="11">O35+TIME(0,0,0)</f>
        <v>45459.625</v>
      </c>
      <c r="Q35" s="440" t="str">
        <f ca="1">AJ39</f>
        <v>Polen</v>
      </c>
      <c r="R35" s="441" t="s">
        <v>12</v>
      </c>
      <c r="S35" s="442" t="str">
        <f ca="1">AJ40</f>
        <v>Nederland</v>
      </c>
      <c r="T35" s="353">
        <v>0</v>
      </c>
      <c r="U35" s="54" t="s">
        <v>12</v>
      </c>
      <c r="V35" s="353">
        <v>2</v>
      </c>
      <c r="W35" s="60"/>
      <c r="X35" s="17"/>
      <c r="Y35" s="4" t="str">
        <f>IF(ISBLANK(J35),"LEEG",IF(TYPE(J35)=1,IF(AND(J35&lt;10,J35&gt;=0),IF(J35=ROUND(J35,0),"GOED","ONGELDIG"),"HOOG"),"ONGELDIG"))</f>
        <v>GOED</v>
      </c>
      <c r="Z35" s="4" t="str">
        <f>IF(ISBLANK(L35),"LEEG",IF(TYPE(L35)=1,IF(AND(L35&lt;10,L35&gt;=0),IF(L35=ROUND(L35,0),"GOED","ONGELDIG"),"HOOG"),"ONGELDIG"))</f>
        <v>GOED</v>
      </c>
      <c r="AA35" s="138" t="str">
        <f>IF(Y35="GOED",IF(Z35="GOED",J35&amp;L35&amp;"|","FOUT"),"FOUT")</f>
        <v>01|</v>
      </c>
      <c r="AB35" s="4" t="str">
        <f t="shared" ref="AB35:AB40" si="12">IF(ISBLANK(T35),"LEEG",IF(TYPE(T35)=1,IF(AND(T35&lt;10,T35&gt;=0),IF(T35=ROUND(T35,0),"GOED","ONGELDIG"),"HOOG"),"ONGELDIG"))</f>
        <v>GOED</v>
      </c>
      <c r="AC35" s="4" t="str">
        <f t="shared" ref="AC35:AC40" si="13">IF(ISBLANK(V35),"LEEG",IF(TYPE(V35)=1,IF(AND(V35&lt;10,V35&gt;=0),IF(V35=ROUND(V35,0),"GOED","ONGELDIG"),"HOOG"),"ONGELDIG"))</f>
        <v>GOED</v>
      </c>
      <c r="AD35" s="138" t="str">
        <f t="shared" ref="AD35:AD40" si="14">IF(AB35="GOED",IF(AC35="GOED",T35&amp;V35&amp;"|","FOUT"),"FOUT")</f>
        <v>02|</v>
      </c>
      <c r="AE35" s="285">
        <f t="shared" ref="AE35:AE40" si="15">IF(AND(Y35="GOED",Z35="GOED",AB35="GOED",AB35="GOED"),IF(J35+L35&gt;T35+V35,J35+L35,T35+V35),IF(AND(Y35="GOED",Z35="GOED"),J35+L35,IF(AND(AB35="GOED",AB35="GOED"),T35+V35,0)))</f>
        <v>2</v>
      </c>
      <c r="AF35" s="251">
        <v>25</v>
      </c>
      <c r="AG35" s="106" t="str">
        <f t="shared" si="0"/>
        <v>12|</v>
      </c>
      <c r="AH35" s="1116"/>
      <c r="AI35" s="1116"/>
      <c r="AJ35" s="70"/>
      <c r="AK35" s="1116" t="s">
        <v>175</v>
      </c>
      <c r="AL35" s="1116" t="str">
        <f ca="1">AJ39</f>
        <v>Polen</v>
      </c>
      <c r="AM35" s="1116" t="str">
        <f ca="1">AJ40</f>
        <v>Nederland</v>
      </c>
      <c r="AN35" s="1116" t="str">
        <f ca="1">AJ41</f>
        <v>Oostenrijk</v>
      </c>
      <c r="AO35" s="1116" t="str">
        <f ca="1">AJ42</f>
        <v>Frankrijk</v>
      </c>
      <c r="AP35" s="1116" t="s">
        <v>98</v>
      </c>
      <c r="AQ35" s="1116" t="s">
        <v>174</v>
      </c>
      <c r="AR35" s="1116" t="s">
        <v>173</v>
      </c>
      <c r="AS35" s="1116" t="str">
        <f ca="1">"Gelijk met "&amp;AH39</f>
        <v>Gelijk met D1</v>
      </c>
      <c r="AT35" s="1116" t="str">
        <f ca="1">"Gelijk met "&amp;AH40</f>
        <v>Gelijk met D2</v>
      </c>
      <c r="AU35" s="1116" t="str">
        <f ca="1">"Gelijk met "&amp;AH41</f>
        <v>Gelijk met D3</v>
      </c>
      <c r="AV35" s="1116" t="str">
        <f ca="1">"Gelijk met "&amp;AH42</f>
        <v>Gelijk met D4</v>
      </c>
      <c r="AW35" s="1116" t="s">
        <v>98</v>
      </c>
      <c r="AX35" s="1116" t="s">
        <v>174</v>
      </c>
      <c r="AY35" s="1116" t="s">
        <v>173</v>
      </c>
      <c r="AZ35" s="1116" t="s">
        <v>231</v>
      </c>
      <c r="BA35" s="1116" t="s">
        <v>73</v>
      </c>
    </row>
    <row r="36" spans="2:53" ht="15" customHeight="1" x14ac:dyDescent="0.25">
      <c r="B36" s="17"/>
      <c r="C36" s="949"/>
      <c r="D36" s="6" t="str">
        <f>"05"</f>
        <v>05</v>
      </c>
      <c r="E36" s="11">
        <f>DATE(2024,6,16)+TIME(21,0,0)</f>
        <v>45459.875</v>
      </c>
      <c r="F36" s="134">
        <f t="shared" si="10"/>
        <v>45459.875</v>
      </c>
      <c r="G36" s="440" t="str">
        <f ca="1">AJ32</f>
        <v>Servië</v>
      </c>
      <c r="H36" s="441" t="s">
        <v>12</v>
      </c>
      <c r="I36" s="442" t="str">
        <f ca="1">AJ33</f>
        <v>Engeland</v>
      </c>
      <c r="J36" s="353">
        <v>1</v>
      </c>
      <c r="K36" s="54" t="s">
        <v>12</v>
      </c>
      <c r="L36" s="353">
        <v>3</v>
      </c>
      <c r="M36" s="9"/>
      <c r="N36" s="438" t="str">
        <f>"08"</f>
        <v>08</v>
      </c>
      <c r="O36" s="436">
        <f>DATE(2024,6,17)+TIME(21,0,0)</f>
        <v>45460.875</v>
      </c>
      <c r="P36" s="437">
        <f t="shared" si="11"/>
        <v>45460.875</v>
      </c>
      <c r="Q36" s="440" t="str">
        <f ca="1">AJ41</f>
        <v>Oostenrijk</v>
      </c>
      <c r="R36" s="441" t="s">
        <v>12</v>
      </c>
      <c r="S36" s="442" t="str">
        <f ca="1">AJ42</f>
        <v>Frankrijk</v>
      </c>
      <c r="T36" s="353">
        <v>0</v>
      </c>
      <c r="U36" s="54" t="s">
        <v>12</v>
      </c>
      <c r="V36" s="353">
        <v>2</v>
      </c>
      <c r="W36" s="60"/>
      <c r="X36" s="17"/>
      <c r="Y36" s="4" t="str">
        <f>IF(ISBLANK(J36),"LEEG",IF(TYPE(J36)=1,IF(AND(J36&lt;10,J36&gt;=0),IF(J36=ROUND(J36,0),"GOED","ONGELDIG"),"HOOG"),"ONGELDIG"))</f>
        <v>GOED</v>
      </c>
      <c r="Z36" s="4" t="str">
        <f>IF(ISBLANK(L36),"LEEG",IF(TYPE(L36)=1,IF(AND(L36&lt;10,L36&gt;=0),IF(L36=ROUND(L36,0),"GOED","ONGELDIG"),"HOOG"),"ONGELDIG"))</f>
        <v>GOED</v>
      </c>
      <c r="AA36" s="138" t="str">
        <f>IF(Y36="GOED",IF(Z36="GOED",J36&amp;L36&amp;"|","FOUT"),"FOUT")</f>
        <v>13|</v>
      </c>
      <c r="AB36" s="4" t="str">
        <f t="shared" si="12"/>
        <v>GOED</v>
      </c>
      <c r="AC36" s="4" t="str">
        <f t="shared" si="13"/>
        <v>GOED</v>
      </c>
      <c r="AD36" s="138" t="str">
        <f t="shared" si="14"/>
        <v>02|</v>
      </c>
      <c r="AE36" s="285">
        <f t="shared" si="15"/>
        <v>4</v>
      </c>
      <c r="AF36" s="251">
        <v>26</v>
      </c>
      <c r="AG36" s="106" t="str">
        <f t="shared" si="0"/>
        <v>02|</v>
      </c>
      <c r="AH36" s="1116"/>
      <c r="AI36" s="1116"/>
      <c r="AJ36" s="70"/>
      <c r="AK36" s="1116"/>
      <c r="AL36" s="1116"/>
      <c r="AM36" s="1116"/>
      <c r="AN36" s="1116"/>
      <c r="AO36" s="1116"/>
      <c r="AP36" s="1116"/>
      <c r="AQ36" s="1116"/>
      <c r="AR36" s="1116"/>
      <c r="AS36" s="1116"/>
      <c r="AT36" s="1116"/>
      <c r="AU36" s="1116"/>
      <c r="AV36" s="1116"/>
      <c r="AW36" s="1116"/>
      <c r="AX36" s="1116"/>
      <c r="AY36" s="1116"/>
      <c r="AZ36" s="1116"/>
      <c r="BA36" s="1116"/>
    </row>
    <row r="37" spans="2:53" ht="15" customHeight="1" x14ac:dyDescent="0.25">
      <c r="B37" s="17"/>
      <c r="C37" s="949"/>
      <c r="D37" s="6">
        <v>18</v>
      </c>
      <c r="E37" s="11">
        <f>DATE(2024,6,20)+TIME(15,0,0)</f>
        <v>45463.625</v>
      </c>
      <c r="F37" s="134">
        <f>E37+TIME(0,0,0)</f>
        <v>45463.625</v>
      </c>
      <c r="G37" s="8" t="str">
        <f ca="1">AJ30</f>
        <v>Slovenië</v>
      </c>
      <c r="H37" s="7" t="s">
        <v>12</v>
      </c>
      <c r="I37" s="327" t="str">
        <f ca="1">AJ32</f>
        <v>Servië</v>
      </c>
      <c r="J37" s="353">
        <v>1</v>
      </c>
      <c r="K37" s="54" t="s">
        <v>12</v>
      </c>
      <c r="L37" s="353">
        <v>2</v>
      </c>
      <c r="M37" s="9"/>
      <c r="N37" s="6">
        <v>19</v>
      </c>
      <c r="O37" s="11">
        <f>DATE(2024,6,21)+TIME(18,0,0)</f>
        <v>45464.75</v>
      </c>
      <c r="P37" s="134">
        <f t="shared" si="11"/>
        <v>45464.75</v>
      </c>
      <c r="Q37" s="440" t="str">
        <f ca="1">AJ39</f>
        <v>Polen</v>
      </c>
      <c r="R37" s="441" t="s">
        <v>12</v>
      </c>
      <c r="S37" s="442" t="str">
        <f ca="1">AJ41</f>
        <v>Oostenrijk</v>
      </c>
      <c r="T37" s="353">
        <v>1</v>
      </c>
      <c r="U37" s="54" t="s">
        <v>12</v>
      </c>
      <c r="V37" s="353">
        <v>2</v>
      </c>
      <c r="W37" s="60"/>
      <c r="X37" s="17"/>
      <c r="Y37" s="4" t="str">
        <f>IF(ISBLANK(J37),"LEEG",IF(TYPE(J37)=1,IF(AND(J37&lt;10,J37&gt;=0),IF(J37=ROUND(J37,0),"GOED","ONGELDIG"),"HOOG"),"ONGELDIG"))</f>
        <v>GOED</v>
      </c>
      <c r="Z37" s="4" t="str">
        <f>IF(ISBLANK(L37),"LEEG",IF(TYPE(L37)=1,IF(AND(L37&lt;10,L37&gt;=0),IF(L37=ROUND(L37,0),"GOED","ONGELDIG"),"HOOG"),"ONGELDIG"))</f>
        <v>GOED</v>
      </c>
      <c r="AA37" s="138" t="str">
        <f>IF(Y37="GOED",IF(Z37="GOED",J37&amp;L37&amp;"|","FOUT"),"FOUT")</f>
        <v>12|</v>
      </c>
      <c r="AB37" s="4" t="str">
        <f t="shared" si="12"/>
        <v>GOED</v>
      </c>
      <c r="AC37" s="4" t="str">
        <f t="shared" si="13"/>
        <v>GOED</v>
      </c>
      <c r="AD37" s="138" t="str">
        <f t="shared" si="14"/>
        <v>12|</v>
      </c>
      <c r="AE37" s="285">
        <f t="shared" si="15"/>
        <v>3</v>
      </c>
      <c r="AF37" s="251">
        <v>27</v>
      </c>
      <c r="AG37" s="106" t="str">
        <f t="shared" ca="1" si="0"/>
        <v>03|</v>
      </c>
      <c r="AH37" s="1116"/>
      <c r="AI37" s="1116"/>
      <c r="AJ37" s="161" t="str">
        <f ca="1">N33</f>
        <v>Groep D</v>
      </c>
      <c r="AK37" s="1116"/>
      <c r="AL37" s="1116"/>
      <c r="AM37" s="1116"/>
      <c r="AN37" s="1116"/>
      <c r="AO37" s="1116"/>
      <c r="AP37" s="1116"/>
      <c r="AQ37" s="1116"/>
      <c r="AR37" s="1116"/>
      <c r="AS37" s="1116"/>
      <c r="AT37" s="1116"/>
      <c r="AU37" s="1116"/>
      <c r="AV37" s="1116"/>
      <c r="AW37" s="1116"/>
      <c r="AX37" s="1116"/>
      <c r="AY37" s="1116"/>
      <c r="AZ37" s="1116"/>
      <c r="BA37" s="1116"/>
    </row>
    <row r="38" spans="2:53" ht="15" customHeight="1" x14ac:dyDescent="0.25">
      <c r="B38" s="17"/>
      <c r="C38" s="949"/>
      <c r="D38" s="6">
        <v>17</v>
      </c>
      <c r="E38" s="11">
        <f>DATE(2024,6,20)+TIME(18,0,0)</f>
        <v>45463.75</v>
      </c>
      <c r="F38" s="134">
        <f>E38+TIME(0,0,0)</f>
        <v>45463.75</v>
      </c>
      <c r="G38" s="8" t="str">
        <f ca="1">AJ33</f>
        <v>Engeland</v>
      </c>
      <c r="H38" s="7" t="s">
        <v>12</v>
      </c>
      <c r="I38" s="327" t="str">
        <f ca="1">AJ31</f>
        <v>Denemarken</v>
      </c>
      <c r="J38" s="353">
        <v>2</v>
      </c>
      <c r="K38" s="54" t="s">
        <v>12</v>
      </c>
      <c r="L38" s="353">
        <v>1</v>
      </c>
      <c r="M38" s="9"/>
      <c r="N38" s="6">
        <v>20</v>
      </c>
      <c r="O38" s="11">
        <f>DATE(2024,6,21)+TIME(21,0,0)</f>
        <v>45464.875</v>
      </c>
      <c r="P38" s="134">
        <f t="shared" si="11"/>
        <v>45464.875</v>
      </c>
      <c r="Q38" s="8" t="str">
        <f ca="1">AJ40</f>
        <v>Nederland</v>
      </c>
      <c r="R38" s="7" t="s">
        <v>12</v>
      </c>
      <c r="S38" s="327" t="str">
        <f ca="1">AJ42</f>
        <v>Frankrijk</v>
      </c>
      <c r="T38" s="353">
        <v>1</v>
      </c>
      <c r="U38" s="54" t="s">
        <v>12</v>
      </c>
      <c r="V38" s="353">
        <v>2</v>
      </c>
      <c r="W38" s="60"/>
      <c r="X38" s="17"/>
      <c r="Y38" s="4" t="str">
        <f>IF(ISBLANK(J38),"LEEG",IF(TYPE(J38)=1,IF(AND(J38&lt;10,J38&gt;=0),IF(J38=ROUND(J38,0),"GOED","ONGELDIG"),"HOOG"),"ONGELDIG"))</f>
        <v>GOED</v>
      </c>
      <c r="Z38" s="4" t="str">
        <f>IF(ISBLANK(L38),"LEEG",IF(TYPE(L38)=1,IF(AND(L38&lt;10,L38&gt;=0),IF(L38=ROUND(L38,0),"GOED","ONGELDIG"),"HOOG"),"ONGELDIG"))</f>
        <v>GOED</v>
      </c>
      <c r="AA38" s="138" t="str">
        <f>IF(Y38="GOED",IF(Z38="GOED",J38&amp;L38&amp;"|","FOUT"),"FOUT")</f>
        <v>21|</v>
      </c>
      <c r="AB38" s="4" t="str">
        <f t="shared" si="12"/>
        <v>GOED</v>
      </c>
      <c r="AC38" s="4" t="str">
        <f t="shared" si="13"/>
        <v>GOED</v>
      </c>
      <c r="AD38" s="138" t="str">
        <f t="shared" si="14"/>
        <v>12|</v>
      </c>
      <c r="AE38" s="285">
        <f t="shared" si="15"/>
        <v>3</v>
      </c>
      <c r="AF38" s="251">
        <v>28</v>
      </c>
      <c r="AG38" s="106" t="str">
        <f t="shared" ca="1" si="0"/>
        <v>10|</v>
      </c>
      <c r="AH38" s="1116"/>
      <c r="AI38" s="1116"/>
      <c r="AJ38" s="70" t="s">
        <v>17</v>
      </c>
      <c r="AK38" s="1144"/>
      <c r="AL38" s="1144"/>
      <c r="AM38" s="1144"/>
      <c r="AN38" s="1144"/>
      <c r="AO38" s="1144"/>
      <c r="AP38" s="1144"/>
      <c r="AQ38" s="1144"/>
      <c r="AR38" s="1144"/>
      <c r="AS38" s="1116"/>
      <c r="AT38" s="1116"/>
      <c r="AU38" s="1116"/>
      <c r="AV38" s="1116"/>
      <c r="AW38" s="1116"/>
      <c r="AX38" s="1116"/>
      <c r="AY38" s="1116"/>
      <c r="AZ38" s="1116"/>
      <c r="BA38" s="1116"/>
    </row>
    <row r="39" spans="2:53" ht="15" customHeight="1" x14ac:dyDescent="0.25">
      <c r="B39" s="17"/>
      <c r="C39" s="949"/>
      <c r="D39" s="6">
        <v>29</v>
      </c>
      <c r="E39" s="436">
        <f>DATE(2024,6,25)+TIME(21,0,0)</f>
        <v>45468.875</v>
      </c>
      <c r="F39" s="134">
        <f t="shared" si="10"/>
        <v>45468.875</v>
      </c>
      <c r="G39" s="8" t="str">
        <f ca="1">AJ33</f>
        <v>Engeland</v>
      </c>
      <c r="H39" s="7" t="s">
        <v>12</v>
      </c>
      <c r="I39" s="327" t="str">
        <f ca="1">AJ30</f>
        <v>Slovenië</v>
      </c>
      <c r="J39" s="353">
        <v>4</v>
      </c>
      <c r="K39" s="54" t="s">
        <v>12</v>
      </c>
      <c r="L39" s="353">
        <v>0</v>
      </c>
      <c r="M39" s="9"/>
      <c r="N39" s="6">
        <v>31</v>
      </c>
      <c r="O39" s="436">
        <f>DATE(2024,6,25)+TIME(18,0,0)</f>
        <v>45468.75</v>
      </c>
      <c r="P39" s="134">
        <f t="shared" si="11"/>
        <v>45468.75</v>
      </c>
      <c r="Q39" s="8" t="str">
        <f ca="1">AJ40</f>
        <v>Nederland</v>
      </c>
      <c r="R39" s="7" t="s">
        <v>12</v>
      </c>
      <c r="S39" s="327" t="str">
        <f ca="1">AJ41</f>
        <v>Oostenrijk</v>
      </c>
      <c r="T39" s="353">
        <v>2</v>
      </c>
      <c r="U39" s="54" t="s">
        <v>12</v>
      </c>
      <c r="V39" s="353">
        <v>0</v>
      </c>
      <c r="W39" s="60"/>
      <c r="X39" s="17"/>
      <c r="Y39" s="4" t="str">
        <f t="shared" ref="Y39:Y40" si="16">IF(ISBLANK(J39),"LEEG",IF(TYPE(J39)=1,IF(AND(J39&lt;10,J39&gt;=0),IF(J39=ROUND(J39,0),"GOED","ONGELDIG"),"HOOG"),"ONGELDIG"))</f>
        <v>GOED</v>
      </c>
      <c r="Z39" s="4" t="str">
        <f t="shared" ref="Z39:Z40" si="17">IF(ISBLANK(L39),"LEEG",IF(TYPE(L39)=1,IF(AND(L39&lt;10,L39&gt;=0),IF(L39=ROUND(L39,0),"GOED","ONGELDIG"),"HOOG"),"ONGELDIG"))</f>
        <v>GOED</v>
      </c>
      <c r="AA39" s="138" t="str">
        <f t="shared" ref="AA39:AA40" si="18">IF(Y39="GOED",IF(Z39="GOED",J39&amp;L39&amp;"|","FOUT"),"FOUT")</f>
        <v>40|</v>
      </c>
      <c r="AB39" s="4" t="str">
        <f t="shared" si="12"/>
        <v>GOED</v>
      </c>
      <c r="AC39" s="4" t="str">
        <f t="shared" si="13"/>
        <v>GOED</v>
      </c>
      <c r="AD39" s="138" t="str">
        <f t="shared" si="14"/>
        <v>20|</v>
      </c>
      <c r="AE39" s="285">
        <f t="shared" si="15"/>
        <v>4</v>
      </c>
      <c r="AF39" s="251">
        <v>31</v>
      </c>
      <c r="AG39" s="106" t="str">
        <f t="shared" ca="1" si="0"/>
        <v>20|</v>
      </c>
      <c r="AH39" s="171" t="str">
        <f ca="1">RIGHT(AJ37,1)&amp;1</f>
        <v>D1</v>
      </c>
      <c r="AI39" s="168">
        <f ca="1">$AU$86</f>
        <v>4</v>
      </c>
      <c r="AJ39" s="160" t="str">
        <f ca="1">VLOOKUP(AH39,Voorblad!$X$67:$Z$98,2,FALSE)</f>
        <v>Polen</v>
      </c>
      <c r="AK39" s="159" t="str">
        <f ca="1">VLOOKUP(AH39,Voorblad!$X$67:$Z$98,3,FALSE)</f>
        <v>PL</v>
      </c>
      <c r="AL39" s="203">
        <v>0</v>
      </c>
      <c r="AM39" s="206">
        <f>IF(ISNUMBER(T35),T35,0)</f>
        <v>0</v>
      </c>
      <c r="AN39" s="206">
        <f>IF(ISNUMBER(T37),T37,0)</f>
        <v>1</v>
      </c>
      <c r="AO39" s="206">
        <f>IF(ISNUMBER(V40),V40,0)</f>
        <v>0</v>
      </c>
      <c r="AP39" s="155">
        <f>IF(AD35&lt;&gt;"FOUT",IF(AM39&gt;AL40,3,IF(AM39=AL40,1,0)),0)+IF(AD37&lt;&gt;"FOUT",IF(AN39&gt;AL41,3,IF(AN39=AL41,1,0)),0)+IF(AD40&lt;&gt;"FOUT",IF(AO39&gt;AL42,3,IF(AO39=AL42,1,0)),0)</f>
        <v>0</v>
      </c>
      <c r="AQ39" s="158">
        <f>SUM(AL39:AO39)</f>
        <v>1</v>
      </c>
      <c r="AR39" s="157">
        <f>SUM(AL39:AL42)</f>
        <v>6</v>
      </c>
      <c r="AS39" s="203">
        <v>0</v>
      </c>
      <c r="AT39" s="156">
        <f>IF($AP39=$AP40,AM39,0)</f>
        <v>0</v>
      </c>
      <c r="AU39" s="156">
        <f>IF($AP39=$AP41,AN39,0)</f>
        <v>0</v>
      </c>
      <c r="AV39" s="199">
        <f>IF($AP39=$AP42,AO39,0)</f>
        <v>0</v>
      </c>
      <c r="AW39" s="155">
        <f>IF(AT39&gt;AS40,3,IF(AT39=AS40,1,0))+IF(AU39&gt;AS41,3,IF(AU39=AS41,1,0))+IF(AV39&gt;AS42,3,IF(AV39=AS42,1,0))</f>
        <v>3</v>
      </c>
      <c r="AX39" s="158">
        <f>SUM(AS39:AV39)</f>
        <v>0</v>
      </c>
      <c r="AY39" s="157">
        <f>SUM(AS39:AS42)</f>
        <v>0</v>
      </c>
      <c r="AZ39" s="211">
        <f ca="1">AP39*10000000000000+(500+AQ39-AR39)*10000000000+AQ39*100000000+AW39*1000000+(500+AX39-AY39)*1000+AX39*10+AI39</f>
        <v>4950103500004</v>
      </c>
      <c r="BA39" s="214">
        <f ca="1">RANK(AZ39,AZ39:AZ42)</f>
        <v>4</v>
      </c>
    </row>
    <row r="40" spans="2:53" ht="15" customHeight="1" x14ac:dyDescent="0.25">
      <c r="B40" s="17"/>
      <c r="C40" s="949"/>
      <c r="D40" s="6">
        <v>30</v>
      </c>
      <c r="E40" s="436">
        <f>E39</f>
        <v>45468.875</v>
      </c>
      <c r="F40" s="134">
        <f t="shared" si="10"/>
        <v>45468.875</v>
      </c>
      <c r="G40" s="8" t="str">
        <f ca="1">AJ31</f>
        <v>Denemarken</v>
      </c>
      <c r="H40" s="7" t="s">
        <v>12</v>
      </c>
      <c r="I40" s="327" t="str">
        <f ca="1">AJ32</f>
        <v>Servië</v>
      </c>
      <c r="J40" s="353">
        <v>1</v>
      </c>
      <c r="K40" s="54" t="s">
        <v>12</v>
      </c>
      <c r="L40" s="353">
        <v>1</v>
      </c>
      <c r="M40" s="9"/>
      <c r="N40" s="6">
        <v>32</v>
      </c>
      <c r="O40" s="436">
        <f>O39</f>
        <v>45468.75</v>
      </c>
      <c r="P40" s="134">
        <f t="shared" si="11"/>
        <v>45468.75</v>
      </c>
      <c r="Q40" s="8" t="str">
        <f ca="1">AJ42</f>
        <v>Frankrijk</v>
      </c>
      <c r="R40" s="7" t="s">
        <v>12</v>
      </c>
      <c r="S40" s="327" t="str">
        <f ca="1">AJ39</f>
        <v>Polen</v>
      </c>
      <c r="T40" s="353">
        <v>2</v>
      </c>
      <c r="U40" s="54" t="s">
        <v>12</v>
      </c>
      <c r="V40" s="353">
        <v>0</v>
      </c>
      <c r="W40" s="60"/>
      <c r="X40" s="17"/>
      <c r="Y40" s="4" t="str">
        <f t="shared" si="16"/>
        <v>GOED</v>
      </c>
      <c r="Z40" s="4" t="str">
        <f t="shared" si="17"/>
        <v>GOED</v>
      </c>
      <c r="AA40" s="138" t="str">
        <f t="shared" si="18"/>
        <v>11|</v>
      </c>
      <c r="AB40" s="4" t="str">
        <f t="shared" si="12"/>
        <v>GOED</v>
      </c>
      <c r="AC40" s="4" t="str">
        <f t="shared" si="13"/>
        <v>GOED</v>
      </c>
      <c r="AD40" s="138" t="str">
        <f t="shared" si="14"/>
        <v>20|</v>
      </c>
      <c r="AE40" s="285">
        <f t="shared" si="15"/>
        <v>2</v>
      </c>
      <c r="AF40" s="106">
        <v>32</v>
      </c>
      <c r="AG40" s="106" t="str">
        <f t="shared" ca="1" si="0"/>
        <v>20|</v>
      </c>
      <c r="AH40" s="171" t="str">
        <f ca="1">RIGHT(AJ37,1)&amp;2</f>
        <v>D2</v>
      </c>
      <c r="AI40" s="168">
        <f ca="1">$AV$86</f>
        <v>2</v>
      </c>
      <c r="AJ40" s="154" t="str">
        <f ca="1">VLOOKUP(AH40,Voorblad!$X$67:$Z$98,2,FALSE)</f>
        <v>Nederland</v>
      </c>
      <c r="AK40" s="110" t="str">
        <f ca="1">VLOOKUP(AH40,Voorblad!$X$67:$Z$98,3,FALSE)</f>
        <v>NL</v>
      </c>
      <c r="AL40" s="207">
        <f>IF(ISNUMBER(V35),V35,0)</f>
        <v>2</v>
      </c>
      <c r="AM40" s="202">
        <v>0</v>
      </c>
      <c r="AN40" s="163">
        <f>IF(ISNUMBER(T39),T39,0)</f>
        <v>2</v>
      </c>
      <c r="AO40" s="163">
        <f>IF(ISNUMBER(T38),T38,0)</f>
        <v>1</v>
      </c>
      <c r="AP40" s="151">
        <f>IF(AD35&lt;&gt;"FOUT",IF(AL40&gt;AM39,3,IF(AL40=AM39,1,0)),0)+IF(AD39&lt;&gt;"FOUT",IF(AN40&gt;AM41,3,IF(AN40=AM41,1,0)),0)+IF(AD38&lt;&gt;"FOUT",IF(AO40&gt;AM42,3,IF(AO40=AM42,1,0)),0)</f>
        <v>6</v>
      </c>
      <c r="AQ40" s="153">
        <f>SUM(AL40:AO40)</f>
        <v>5</v>
      </c>
      <c r="AR40" s="152">
        <f>SUM(AM39:AM42)</f>
        <v>2</v>
      </c>
      <c r="AS40" s="110">
        <f>IF($AP40=$AP39,AL40,0)</f>
        <v>0</v>
      </c>
      <c r="AT40" s="202">
        <v>0</v>
      </c>
      <c r="AU40" s="69">
        <f>IF($AP40=$AP41,AN40,0)</f>
        <v>0</v>
      </c>
      <c r="AV40" s="200">
        <f>IF($AP40=$AP42,AO40,0)</f>
        <v>0</v>
      </c>
      <c r="AW40" s="151">
        <f>IF(AS40&gt;AT39,3,IF(AS40=AT39,1,0))+IF(AU40&gt;AT41,3,IF(AU40=AT41,1,0))+IF(AV40&gt;AT42,3,IF(AV40=AT42,1,0))</f>
        <v>3</v>
      </c>
      <c r="AX40" s="153">
        <f>SUM(AS40:AV40)</f>
        <v>0</v>
      </c>
      <c r="AY40" s="152">
        <f>SUM(AT39:AT42)</f>
        <v>0</v>
      </c>
      <c r="AZ40" s="212">
        <f ca="1">AP40*10000000000000+(500+AQ40-AR40)*10000000000+AQ40*100000000+AW40*1000000+(500+AX40-AY40)*1000+AX40*10+AI40</f>
        <v>65030503500002</v>
      </c>
      <c r="BA40" s="215">
        <f ca="1">RANK(AZ40,AZ39:AZ42)</f>
        <v>2</v>
      </c>
    </row>
    <row r="41" spans="2:53" ht="15" customHeight="1" x14ac:dyDescent="0.25">
      <c r="B41" s="17"/>
      <c r="C41" s="949"/>
      <c r="D41" s="351"/>
      <c r="E41" s="348"/>
      <c r="F41" s="248"/>
      <c r="G41" s="249"/>
      <c r="H41" s="349"/>
      <c r="I41" s="250"/>
      <c r="J41" s="17"/>
      <c r="K41" s="17"/>
      <c r="L41" s="17"/>
      <c r="M41" s="9"/>
      <c r="N41" s="351"/>
      <c r="O41" s="348"/>
      <c r="P41" s="248"/>
      <c r="Q41" s="249"/>
      <c r="R41" s="349"/>
      <c r="S41" s="250"/>
      <c r="T41" s="17"/>
      <c r="U41" s="17"/>
      <c r="V41" s="17"/>
      <c r="W41" s="60"/>
      <c r="X41" s="17"/>
      <c r="Y41" s="4"/>
      <c r="Z41" s="4"/>
      <c r="AA41" s="138"/>
      <c r="AB41" s="4"/>
      <c r="AC41" s="4"/>
      <c r="AD41" s="138"/>
      <c r="AE41" s="849"/>
      <c r="AF41" s="106">
        <v>29</v>
      </c>
      <c r="AG41" s="106" t="str">
        <f t="shared" ca="1" si="0"/>
        <v>40|</v>
      </c>
      <c r="AH41" s="171" t="str">
        <f ca="1">RIGHT(AJ37,1)&amp;3</f>
        <v>D3</v>
      </c>
      <c r="AI41" s="168">
        <f ca="1">$AW$86</f>
        <v>3</v>
      </c>
      <c r="AJ41" s="154" t="str">
        <f ca="1">VLOOKUP(AH41,Voorblad!$X$67:$Z$98,2,FALSE)</f>
        <v>Oostenrijk</v>
      </c>
      <c r="AK41" s="110" t="str">
        <f ca="1">VLOOKUP(AH41,Voorblad!$X$67:$Z$98,3,FALSE)</f>
        <v>AT</v>
      </c>
      <c r="AL41" s="207">
        <f>IF(ISNUMBER(V37),V37,0)</f>
        <v>2</v>
      </c>
      <c r="AM41" s="163">
        <f>IF(ISNUMBER(V39),V39,0)</f>
        <v>0</v>
      </c>
      <c r="AN41" s="202">
        <v>0</v>
      </c>
      <c r="AO41" s="163">
        <f>IF(ISNUMBER(T36),T36,0)</f>
        <v>0</v>
      </c>
      <c r="AP41" s="151">
        <f>IF(AD37&lt;&gt;"FOUT",IF(AL41&gt;AN39,3,IF(AL41=AN39,1,0)),0)+IF(AD39&lt;&gt;"FOUT",IF(AM41&gt;AN40,3,IF(AM41=AN40,1,0)),0)+IF(AD36&lt;&gt;"FOUT",IF(AO41&gt;AN42,3,IF(AO41=AN42,1,0)),0)</f>
        <v>3</v>
      </c>
      <c r="AQ41" s="153">
        <f>SUM(AL41:AO41)</f>
        <v>2</v>
      </c>
      <c r="AR41" s="152">
        <f>SUM(AN39:AN42)</f>
        <v>5</v>
      </c>
      <c r="AS41" s="110">
        <f>IF($AP41=$AP39,AL41,0)</f>
        <v>0</v>
      </c>
      <c r="AT41" s="69">
        <f>IF($AP41=$AP40,AM41,0)</f>
        <v>0</v>
      </c>
      <c r="AU41" s="202">
        <v>0</v>
      </c>
      <c r="AV41" s="200">
        <f>IF($AP41=$AP42,AO41,0)</f>
        <v>0</v>
      </c>
      <c r="AW41" s="151">
        <f>IF(AS41&gt;AU39,3,IF(AS41=AU39,1,0))+IF(AT41&gt;AU40,3,IF(AT41=AU40,1,0))+IF(AV41&gt;AU42,3,IF(AV41=AU42,1,0))</f>
        <v>3</v>
      </c>
      <c r="AX41" s="153">
        <f>SUM(AS41:AV41)</f>
        <v>0</v>
      </c>
      <c r="AY41" s="152">
        <f>SUM(AU39:AU42)</f>
        <v>0</v>
      </c>
      <c r="AZ41" s="212">
        <f ca="1">AP41*10000000000000+(500+AQ41-AR41)*10000000000+AQ41*100000000+AW41*1000000+(500+AX41-AY41)*1000+AX41*10+AI41</f>
        <v>34970203500003</v>
      </c>
      <c r="BA41" s="215">
        <f ca="1">RANK(AZ41,AZ39:AZ42)</f>
        <v>3</v>
      </c>
    </row>
    <row r="42" spans="2:53" ht="15" customHeight="1" x14ac:dyDescent="0.25">
      <c r="B42" s="17"/>
      <c r="C42" s="949"/>
      <c r="D42" s="17"/>
      <c r="E42" s="17"/>
      <c r="F42" s="17"/>
      <c r="G42" s="17"/>
      <c r="H42" s="17"/>
      <c r="I42" s="17"/>
      <c r="J42" s="17"/>
      <c r="K42" s="17"/>
      <c r="L42" s="17"/>
      <c r="M42" s="17"/>
      <c r="N42" s="17"/>
      <c r="O42" s="17"/>
      <c r="P42" s="17"/>
      <c r="Q42" s="17"/>
      <c r="R42" s="17"/>
      <c r="S42" s="17"/>
      <c r="T42" s="17"/>
      <c r="U42" s="17"/>
      <c r="V42" s="17"/>
      <c r="W42" s="60"/>
      <c r="X42" s="17"/>
      <c r="Y42" s="138"/>
      <c r="Z42" s="138"/>
      <c r="AA42" s="138"/>
      <c r="AB42" s="4"/>
      <c r="AC42" s="4"/>
      <c r="AD42" s="1"/>
      <c r="AE42" s="849"/>
      <c r="AF42" s="106">
        <v>30</v>
      </c>
      <c r="AG42" s="106" t="str">
        <f t="shared" ca="1" si="0"/>
        <v>11|</v>
      </c>
      <c r="AH42" s="171" t="str">
        <f ca="1">RIGHT(AJ37,1)&amp;4</f>
        <v>D4</v>
      </c>
      <c r="AI42" s="168">
        <f ca="1">$AX$86</f>
        <v>1</v>
      </c>
      <c r="AJ42" s="150" t="str">
        <f ca="1">VLOOKUP(AH42,Voorblad!$X$67:$Z$98,2,FALSE)</f>
        <v>Frankrijk</v>
      </c>
      <c r="AK42" s="149" t="str">
        <f ca="1">VLOOKUP(AH42,Voorblad!$X$67:$Z$98,3,FALSE)</f>
        <v>FR</v>
      </c>
      <c r="AL42" s="208">
        <f>IF(ISNUMBER(T40),T40,0)</f>
        <v>2</v>
      </c>
      <c r="AM42" s="209">
        <f>IF(ISNUMBER(V38),V38,0)</f>
        <v>2</v>
      </c>
      <c r="AN42" s="209">
        <f>IF(ISNUMBER(V36),V36,0)</f>
        <v>2</v>
      </c>
      <c r="AO42" s="210">
        <v>0</v>
      </c>
      <c r="AP42" s="428">
        <f>IF(AD40&lt;&gt;"FOUT",IF(AL42&gt;AO39,3,IF(AL42=AO39,1,0)),0)+IF(AD38&lt;&gt;"FOUT",IF(AM42&gt;AO40,3,IF(AM42=AO40,1,0)),0)+IF(AD36&lt;&gt;"FOUT",IF(AN42&gt;AO41,3,IF(AN42=AO41,1,0)),0)</f>
        <v>9</v>
      </c>
      <c r="AQ42" s="148">
        <f>SUM(AL42:AO42)</f>
        <v>6</v>
      </c>
      <c r="AR42" s="147">
        <f>SUM(AO39:AO42)</f>
        <v>1</v>
      </c>
      <c r="AS42" s="149">
        <f>IF($AP42=$AP39,AL42,0)</f>
        <v>0</v>
      </c>
      <c r="AT42" s="146">
        <f>IF($AP42=$AP40,AM42,0)</f>
        <v>0</v>
      </c>
      <c r="AU42" s="146">
        <f>IF($AP42=$AP41,AN42,0)</f>
        <v>0</v>
      </c>
      <c r="AV42" s="201">
        <v>0</v>
      </c>
      <c r="AW42" s="145">
        <f>IF(AS42&gt;AV39,3,IF(AS42=AV39,1,0))+IF(AT42&gt;AV40,3,IF(AT42=AV40,1,0))+IF(AU42&gt;AV41,3,IF(AU42=AV41,1,0))</f>
        <v>3</v>
      </c>
      <c r="AX42" s="148">
        <f>SUM(AS42:AV42)</f>
        <v>0</v>
      </c>
      <c r="AY42" s="147">
        <f>SUM(AV39:AV42)</f>
        <v>0</v>
      </c>
      <c r="AZ42" s="213">
        <f ca="1">AP42*10000000000000+(500+AQ42-AR42)*10000000000+AQ42*100000000+AW42*1000000+(500+AX42-AY42)*1000+AX42*10+AI42</f>
        <v>95050603500001</v>
      </c>
      <c r="BA42" s="216">
        <f ca="1">RANK(AZ42,AZ39:AZ42)</f>
        <v>1</v>
      </c>
    </row>
    <row r="43" spans="2:53" ht="20.100000000000001" customHeight="1" x14ac:dyDescent="0.4">
      <c r="B43" s="17"/>
      <c r="C43" s="954"/>
      <c r="D43" s="828" t="str">
        <f ca="1">Taal04!$B$26&amp;" E"</f>
        <v>Groep E</v>
      </c>
      <c r="E43" s="17"/>
      <c r="F43" s="17"/>
      <c r="G43" s="17"/>
      <c r="H43" s="17"/>
      <c r="I43" s="17"/>
      <c r="J43" s="17"/>
      <c r="K43" s="17"/>
      <c r="L43" s="17"/>
      <c r="M43" s="17"/>
      <c r="N43" s="828" t="str">
        <f ca="1">Taal04!$B$26&amp;" F"</f>
        <v>Groep F</v>
      </c>
      <c r="O43" s="17"/>
      <c r="P43" s="17"/>
      <c r="Q43" s="17"/>
      <c r="R43" s="17"/>
      <c r="S43" s="17"/>
      <c r="T43" s="17"/>
      <c r="U43" s="17"/>
      <c r="V43" s="17"/>
      <c r="W43" s="955"/>
      <c r="X43" s="17"/>
      <c r="Y43" s="1117" t="str">
        <f ca="1">"Controle "&amp;D43</f>
        <v>Controle Groep E</v>
      </c>
      <c r="Z43" s="1117"/>
      <c r="AA43" s="1117"/>
      <c r="AB43" s="1117" t="str">
        <f ca="1">"Controle "&amp;N43</f>
        <v>Controle Groep F</v>
      </c>
      <c r="AC43" s="1117"/>
      <c r="AD43" s="1117"/>
      <c r="AE43" s="849"/>
      <c r="AF43" s="251">
        <v>33</v>
      </c>
      <c r="AG43" s="106" t="str">
        <f t="shared" ca="1" si="0"/>
        <v>21|</v>
      </c>
      <c r="AH43" s="1116"/>
      <c r="AI43" s="1116"/>
      <c r="AJ43" s="70" t="s">
        <v>230</v>
      </c>
      <c r="AK43" s="70" t="str">
        <f>IF(COUNTIF(AB35:AC40,"GOED")=12,"JA","NEE")</f>
        <v>JA</v>
      </c>
      <c r="AL43" s="204"/>
      <c r="AM43" s="204"/>
      <c r="AN43" s="204"/>
      <c r="AO43" s="204"/>
      <c r="AP43" s="69"/>
      <c r="AQ43" s="69"/>
      <c r="AR43" s="69"/>
      <c r="AS43" s="182"/>
      <c r="AT43" s="182"/>
      <c r="AU43" s="182"/>
      <c r="AV43" s="182"/>
      <c r="AW43" s="182"/>
      <c r="AX43" s="182"/>
      <c r="AY43" s="182"/>
      <c r="AZ43" s="182"/>
      <c r="BA43" s="70"/>
    </row>
    <row r="44" spans="2:53" ht="15" customHeight="1" x14ac:dyDescent="0.25">
      <c r="B44" s="17"/>
      <c r="C44" s="954"/>
      <c r="D44" s="107"/>
      <c r="E44" s="939" t="str">
        <f ca="1">Taal04!$B$20</f>
        <v>Datum</v>
      </c>
      <c r="F44" s="939" t="str">
        <f ca="1">Taal04!$B$21</f>
        <v>Tijd</v>
      </c>
      <c r="G44" s="1142" t="str">
        <f ca="1">Taal04!$B$22</f>
        <v>Wedstrijd</v>
      </c>
      <c r="H44" s="1142"/>
      <c r="I44" s="1142"/>
      <c r="J44" s="1142" t="str">
        <f ca="1">Taal04!$B$24</f>
        <v>Eindstand</v>
      </c>
      <c r="K44" s="1143"/>
      <c r="L44" s="1143"/>
      <c r="M44" s="17"/>
      <c r="N44" s="107"/>
      <c r="O44" s="939" t="str">
        <f ca="1">Taal04!$B$20</f>
        <v>Datum</v>
      </c>
      <c r="P44" s="939" t="str">
        <f ca="1">Taal04!$B$21</f>
        <v>Tijd</v>
      </c>
      <c r="Q44" s="1142" t="str">
        <f ca="1">Taal04!$B$22</f>
        <v>Wedstrijd</v>
      </c>
      <c r="R44" s="1142"/>
      <c r="S44" s="1142"/>
      <c r="T44" s="1142" t="str">
        <f ca="1">Taal04!$B$24</f>
        <v>Eindstand</v>
      </c>
      <c r="U44" s="1143"/>
      <c r="V44" s="1143"/>
      <c r="W44" s="955"/>
      <c r="X44" s="17"/>
      <c r="Y44" s="4" t="s">
        <v>24</v>
      </c>
      <c r="Z44" s="4" t="s">
        <v>25</v>
      </c>
      <c r="AA44" s="138" t="s">
        <v>0</v>
      </c>
      <c r="AB44" s="4" t="s">
        <v>24</v>
      </c>
      <c r="AC44" s="4" t="s">
        <v>25</v>
      </c>
      <c r="AD44" s="138" t="s">
        <v>0</v>
      </c>
      <c r="AE44" s="849"/>
      <c r="AF44" s="251">
        <v>34</v>
      </c>
      <c r="AG44" s="106" t="str">
        <f t="shared" ca="1" si="0"/>
        <v>12|</v>
      </c>
      <c r="AH44" s="1116"/>
      <c r="AI44" s="1116"/>
      <c r="AJ44" s="70"/>
      <c r="AK44" s="1116" t="s">
        <v>175</v>
      </c>
      <c r="AL44" s="1116" t="str">
        <f ca="1">AJ48</f>
        <v>België</v>
      </c>
      <c r="AM44" s="1116" t="str">
        <f ca="1">AJ49</f>
        <v>Slowakije</v>
      </c>
      <c r="AN44" s="1116" t="str">
        <f ca="1">AJ50</f>
        <v>Roemenië</v>
      </c>
      <c r="AO44" s="1116" t="str">
        <f ca="1">AJ51</f>
        <v>Oekraïne</v>
      </c>
      <c r="AP44" s="1116" t="s">
        <v>98</v>
      </c>
      <c r="AQ44" s="1116" t="s">
        <v>174</v>
      </c>
      <c r="AR44" s="1116" t="s">
        <v>173</v>
      </c>
      <c r="AS44" s="1116" t="str">
        <f ca="1">"Gelijk met "&amp;AH48</f>
        <v>Gelijk met E1</v>
      </c>
      <c r="AT44" s="1116" t="str">
        <f ca="1">"Gelijk met "&amp;AH49</f>
        <v>Gelijk met E2</v>
      </c>
      <c r="AU44" s="1116" t="str">
        <f ca="1">"Gelijk met "&amp;AH50</f>
        <v>Gelijk met E3</v>
      </c>
      <c r="AV44" s="1116" t="str">
        <f ca="1">"Gelijk met "&amp;AH51</f>
        <v>Gelijk met E4</v>
      </c>
      <c r="AW44" s="1116" t="s">
        <v>98</v>
      </c>
      <c r="AX44" s="1116" t="s">
        <v>174</v>
      </c>
      <c r="AY44" s="1116" t="s">
        <v>173</v>
      </c>
      <c r="AZ44" s="1116" t="s">
        <v>231</v>
      </c>
      <c r="BA44" s="1116" t="s">
        <v>73</v>
      </c>
    </row>
    <row r="45" spans="2:53" ht="15" customHeight="1" x14ac:dyDescent="0.25">
      <c r="B45" s="17"/>
      <c r="C45" s="954"/>
      <c r="D45" s="6">
        <v>10</v>
      </c>
      <c r="E45" s="11">
        <f>DATE(2024,6,17)+TIME(15,0,0)</f>
        <v>45460.625</v>
      </c>
      <c r="F45" s="134">
        <f t="shared" ref="F45:F50" si="19">E45+TIME(0,0,0)</f>
        <v>45460.625</v>
      </c>
      <c r="G45" s="8" t="str">
        <f ca="1">AJ50</f>
        <v>Roemenië</v>
      </c>
      <c r="H45" s="7" t="s">
        <v>12</v>
      </c>
      <c r="I45" s="327" t="str">
        <f ca="1">AJ51</f>
        <v>Oekraïne</v>
      </c>
      <c r="J45" s="353">
        <v>0</v>
      </c>
      <c r="K45" s="54" t="s">
        <v>12</v>
      </c>
      <c r="L45" s="353">
        <v>1</v>
      </c>
      <c r="M45" s="9"/>
      <c r="N45" s="6">
        <v>11</v>
      </c>
      <c r="O45" s="11">
        <f>DATE(2024,6,18)+TIME(18,0,0)</f>
        <v>45461.75</v>
      </c>
      <c r="P45" s="134">
        <f t="shared" ref="P45:P50" si="20">O45+TIME(0,0,0)</f>
        <v>45461.75</v>
      </c>
      <c r="Q45" s="440" t="str">
        <f ca="1">AJ57</f>
        <v>Turkije</v>
      </c>
      <c r="R45" s="441" t="s">
        <v>12</v>
      </c>
      <c r="S45" s="442" t="str">
        <f ca="1">AJ58</f>
        <v>Georgië</v>
      </c>
      <c r="T45" s="353">
        <v>2</v>
      </c>
      <c r="U45" s="54" t="s">
        <v>12</v>
      </c>
      <c r="V45" s="353">
        <v>1</v>
      </c>
      <c r="W45" s="955"/>
      <c r="X45" s="17"/>
      <c r="Y45" s="4" t="str">
        <f t="shared" ref="Y45:Y50" si="21">IF(ISBLANK(J45),"LEEG",IF(TYPE(J45)=1,IF(AND(J45&lt;10,J45&gt;=0),IF(J45=ROUND(J45,0),"GOED","ONGELDIG"),"HOOG"),"ONGELDIG"))</f>
        <v>GOED</v>
      </c>
      <c r="Z45" s="4" t="str">
        <f t="shared" ref="Z45:Z50" si="22">IF(ISBLANK(L45),"LEEG",IF(TYPE(L45)=1,IF(AND(L45&lt;10,L45&gt;=0),IF(L45=ROUND(L45,0),"GOED","ONGELDIG"),"HOOG"),"ONGELDIG"))</f>
        <v>GOED</v>
      </c>
      <c r="AA45" s="138" t="str">
        <f t="shared" ref="AA45:AA50" si="23">IF(Y45="GOED",IF(Z45="GOED",J45&amp;L45&amp;"|","FOUT"),"FOUT")</f>
        <v>01|</v>
      </c>
      <c r="AB45" s="4" t="str">
        <f t="shared" ref="AB45:AB50" si="24">IF(ISBLANK(T45),"LEEG",IF(TYPE(T45)=1,IF(AND(T45&lt;10,T45&gt;=0),IF(T45=ROUND(T45,0),"GOED","ONGELDIG"),"HOOG"),"ONGELDIG"))</f>
        <v>GOED</v>
      </c>
      <c r="AC45" s="4" t="str">
        <f t="shared" ref="AC45:AC50" si="25">IF(ISBLANK(V45),"LEEG",IF(TYPE(V45)=1,IF(AND(V45&lt;10,V45&gt;=0),IF(V45=ROUND(V45,0),"GOED","ONGELDIG"),"HOOG"),"ONGELDIG"))</f>
        <v>GOED</v>
      </c>
      <c r="AD45" s="138" t="str">
        <f t="shared" ref="AD45:AD50" si="26">IF(AB45="GOED",IF(AC45="GOED",T45&amp;V45&amp;"|","FOUT"),"FOUT")</f>
        <v>21|</v>
      </c>
      <c r="AE45" s="285">
        <f t="shared" ref="AE45:AE50" si="27">IF(AND(Y45="GOED",Z45="GOED",AB45="GOED",AB45="GOED"),IF(J45+L45&gt;T45+V45,J45+L45,T45+V45),IF(AND(Y45="GOED",Z45="GOED"),J45+L45,IF(AND(AB45="GOED",AB45="GOED"),T45+V45,0)))</f>
        <v>3</v>
      </c>
      <c r="AF45" s="251">
        <v>35</v>
      </c>
      <c r="AG45" s="106" t="str">
        <f t="shared" ca="1" si="0"/>
        <v>02|</v>
      </c>
      <c r="AH45" s="1116"/>
      <c r="AI45" s="1116"/>
      <c r="AJ45" s="70"/>
      <c r="AK45" s="1116"/>
      <c r="AL45" s="1116"/>
      <c r="AM45" s="1116"/>
      <c r="AN45" s="1116"/>
      <c r="AO45" s="1116"/>
      <c r="AP45" s="1116"/>
      <c r="AQ45" s="1116"/>
      <c r="AR45" s="1116"/>
      <c r="AS45" s="1116"/>
      <c r="AT45" s="1116"/>
      <c r="AU45" s="1116"/>
      <c r="AV45" s="1116"/>
      <c r="AW45" s="1116"/>
      <c r="AX45" s="1116"/>
      <c r="AY45" s="1116"/>
      <c r="AZ45" s="1116"/>
      <c r="BA45" s="1116"/>
    </row>
    <row r="46" spans="2:53" ht="15" customHeight="1" x14ac:dyDescent="0.25">
      <c r="B46" s="17"/>
      <c r="C46" s="954"/>
      <c r="D46" s="6" t="str">
        <f>"09"</f>
        <v>09</v>
      </c>
      <c r="E46" s="11">
        <f>DATE(2024,6,17)+TIME(18,0,0)</f>
        <v>45460.75</v>
      </c>
      <c r="F46" s="134">
        <f t="shared" si="19"/>
        <v>45460.75</v>
      </c>
      <c r="G46" s="8" t="str">
        <f ca="1">AJ48</f>
        <v>België</v>
      </c>
      <c r="H46" s="7" t="s">
        <v>12</v>
      </c>
      <c r="I46" s="327" t="str">
        <f ca="1">AJ49</f>
        <v>Slowakije</v>
      </c>
      <c r="J46" s="353">
        <v>2</v>
      </c>
      <c r="K46" s="54" t="s">
        <v>12</v>
      </c>
      <c r="L46" s="353">
        <v>1</v>
      </c>
      <c r="M46" s="9"/>
      <c r="N46" s="6">
        <v>12</v>
      </c>
      <c r="O46" s="11">
        <f>DATE(2024,6,18)+TIME(21,0,0)</f>
        <v>45461.875</v>
      </c>
      <c r="P46" s="134">
        <f t="shared" si="20"/>
        <v>45461.875</v>
      </c>
      <c r="Q46" s="440" t="str">
        <f ca="1">AJ59</f>
        <v>Portugal</v>
      </c>
      <c r="R46" s="441" t="s">
        <v>12</v>
      </c>
      <c r="S46" s="442" t="str">
        <f ca="1">AJ60</f>
        <v>Tsjechië</v>
      </c>
      <c r="T46" s="353">
        <v>3</v>
      </c>
      <c r="U46" s="54" t="s">
        <v>12</v>
      </c>
      <c r="V46" s="353">
        <v>0</v>
      </c>
      <c r="W46" s="955"/>
      <c r="X46" s="17"/>
      <c r="Y46" s="4" t="str">
        <f t="shared" si="21"/>
        <v>GOED</v>
      </c>
      <c r="Z46" s="4" t="str">
        <f t="shared" si="22"/>
        <v>GOED</v>
      </c>
      <c r="AA46" s="138" t="str">
        <f t="shared" si="23"/>
        <v>21|</v>
      </c>
      <c r="AB46" s="4" t="str">
        <f t="shared" si="24"/>
        <v>GOED</v>
      </c>
      <c r="AC46" s="4" t="str">
        <f t="shared" si="25"/>
        <v>GOED</v>
      </c>
      <c r="AD46" s="138" t="str">
        <f t="shared" si="26"/>
        <v>30|</v>
      </c>
      <c r="AE46" s="285">
        <f t="shared" si="27"/>
        <v>3</v>
      </c>
      <c r="AF46" s="251">
        <v>36</v>
      </c>
      <c r="AG46" s="106" t="str">
        <f t="shared" ca="1" si="0"/>
        <v>23|</v>
      </c>
      <c r="AH46" s="1116"/>
      <c r="AI46" s="1116"/>
      <c r="AJ46" s="445" t="str">
        <f ca="1">D43</f>
        <v>Groep E</v>
      </c>
      <c r="AK46" s="1116"/>
      <c r="AL46" s="1116"/>
      <c r="AM46" s="1116"/>
      <c r="AN46" s="1116"/>
      <c r="AO46" s="1116"/>
      <c r="AP46" s="1116"/>
      <c r="AQ46" s="1116"/>
      <c r="AR46" s="1116"/>
      <c r="AS46" s="1116"/>
      <c r="AT46" s="1116"/>
      <c r="AU46" s="1116"/>
      <c r="AV46" s="1116"/>
      <c r="AW46" s="1116"/>
      <c r="AX46" s="1116"/>
      <c r="AY46" s="1116"/>
      <c r="AZ46" s="1116"/>
      <c r="BA46" s="1116"/>
    </row>
    <row r="47" spans="2:53" ht="15" customHeight="1" x14ac:dyDescent="0.25">
      <c r="B47" s="17"/>
      <c r="C47" s="954"/>
      <c r="D47" s="6">
        <v>21</v>
      </c>
      <c r="E47" s="11">
        <f>DATE(2024,6,21)+TIME(15,0,0)</f>
        <v>45464.625</v>
      </c>
      <c r="F47" s="134">
        <f t="shared" si="19"/>
        <v>45464.625</v>
      </c>
      <c r="G47" s="440" t="str">
        <f ca="1">AJ49</f>
        <v>Slowakije</v>
      </c>
      <c r="H47" s="441" t="s">
        <v>12</v>
      </c>
      <c r="I47" s="442" t="str">
        <f ca="1">AJ51</f>
        <v>Oekraïne</v>
      </c>
      <c r="J47" s="353">
        <v>0</v>
      </c>
      <c r="K47" s="54" t="s">
        <v>12</v>
      </c>
      <c r="L47" s="353">
        <v>0</v>
      </c>
      <c r="M47" s="9"/>
      <c r="N47" s="6">
        <v>24</v>
      </c>
      <c r="O47" s="11">
        <f>DATE(2024,6,22)+TIME(15,0,0)</f>
        <v>45465.625</v>
      </c>
      <c r="P47" s="134">
        <f>O47+TIME(0,0,0)</f>
        <v>45465.625</v>
      </c>
      <c r="Q47" s="440" t="str">
        <f ca="1">AJ58</f>
        <v>Georgië</v>
      </c>
      <c r="R47" s="441" t="s">
        <v>12</v>
      </c>
      <c r="S47" s="442" t="str">
        <f ca="1">AJ60</f>
        <v>Tsjechië</v>
      </c>
      <c r="T47" s="353">
        <v>1</v>
      </c>
      <c r="U47" s="54" t="s">
        <v>12</v>
      </c>
      <c r="V47" s="353">
        <v>2</v>
      </c>
      <c r="W47" s="955"/>
      <c r="X47" s="17"/>
      <c r="Y47" s="4" t="str">
        <f t="shared" si="21"/>
        <v>GOED</v>
      </c>
      <c r="Z47" s="4" t="str">
        <f t="shared" si="22"/>
        <v>GOED</v>
      </c>
      <c r="AA47" s="138" t="str">
        <f t="shared" si="23"/>
        <v>00|</v>
      </c>
      <c r="AB47" s="4" t="str">
        <f>IF(ISBLANK(T47),"LEEG",IF(TYPE(T47)=1,IF(AND(T47&lt;10,T47&gt;=0),IF(T47=ROUND(T47,0),"GOED","ONGELDIG"),"HOOG"),"ONGELDIG"))</f>
        <v>GOED</v>
      </c>
      <c r="AC47" s="4" t="str">
        <f>IF(ISBLANK(V47),"LEEG",IF(TYPE(V47)=1,IF(AND(V47&lt;10,V47&gt;=0),IF(V47=ROUND(V47,0),"GOED","ONGELDIG"),"HOOG"),"ONGELDIG"))</f>
        <v>GOED</v>
      </c>
      <c r="AD47" s="138" t="str">
        <f>IF(AB47="GOED",IF(AC47="GOED",T47&amp;V47&amp;"|","FOUT"),"FOUT")</f>
        <v>12|</v>
      </c>
      <c r="AE47" s="285">
        <f t="shared" si="27"/>
        <v>3</v>
      </c>
      <c r="AF47" s="251">
        <v>37</v>
      </c>
      <c r="AG47" s="106" t="str">
        <f ca="1">IF(TYPE(VLOOKUP(AF47,$D$25:$D$60,1,FALSE)*1)=1,VLOOKUP(AF47,$D$25:$AA$60,24,FALSE),IF(TYPE(VLOOKUP(AF47,$N$25:$N$60,1,FALSE)*1)=1,VLOOKUP(AF47,$N$25:$AD$60,17,FALSE),"ERROR"))</f>
        <v>ERROR</v>
      </c>
      <c r="AH47" s="1116"/>
      <c r="AI47" s="1116"/>
      <c r="AJ47" s="444" t="s">
        <v>17</v>
      </c>
      <c r="AK47" s="1144"/>
      <c r="AL47" s="1144"/>
      <c r="AM47" s="1144"/>
      <c r="AN47" s="1144"/>
      <c r="AO47" s="1144"/>
      <c r="AP47" s="1116"/>
      <c r="AQ47" s="1116"/>
      <c r="AR47" s="1116"/>
      <c r="AS47" s="1116"/>
      <c r="AT47" s="1116"/>
      <c r="AU47" s="1116"/>
      <c r="AV47" s="1116"/>
      <c r="AW47" s="1116"/>
      <c r="AX47" s="1116"/>
      <c r="AY47" s="1116"/>
      <c r="AZ47" s="1116"/>
      <c r="BA47" s="1116"/>
    </row>
    <row r="48" spans="2:53" ht="15" customHeight="1" x14ac:dyDescent="0.25">
      <c r="B48" s="17"/>
      <c r="C48" s="954"/>
      <c r="D48" s="6">
        <v>22</v>
      </c>
      <c r="E48" s="11">
        <f>DATE(2024,6,22)+TIME(21,0,0)</f>
        <v>45465.875</v>
      </c>
      <c r="F48" s="134">
        <f t="shared" si="19"/>
        <v>45465.875</v>
      </c>
      <c r="G48" s="8" t="str">
        <f ca="1">AJ48</f>
        <v>België</v>
      </c>
      <c r="H48" s="7" t="s">
        <v>12</v>
      </c>
      <c r="I48" s="327" t="str">
        <f ca="1">AJ50</f>
        <v>Roemenië</v>
      </c>
      <c r="J48" s="353">
        <v>3</v>
      </c>
      <c r="K48" s="54" t="s">
        <v>12</v>
      </c>
      <c r="L48" s="353">
        <v>0</v>
      </c>
      <c r="M48" s="9"/>
      <c r="N48" s="6">
        <v>23</v>
      </c>
      <c r="O48" s="11">
        <f>DATE(2024,6,22)+TIME(18,0,0)</f>
        <v>45465.75</v>
      </c>
      <c r="P48" s="134">
        <f>O48+TIME(0,0,0)</f>
        <v>45465.75</v>
      </c>
      <c r="Q48" s="440" t="str">
        <f ca="1">AJ57</f>
        <v>Turkije</v>
      </c>
      <c r="R48" s="441" t="s">
        <v>12</v>
      </c>
      <c r="S48" s="442" t="str">
        <f ca="1">AJ59</f>
        <v>Portugal</v>
      </c>
      <c r="T48" s="353">
        <v>1</v>
      </c>
      <c r="U48" s="54" t="s">
        <v>12</v>
      </c>
      <c r="V48" s="353">
        <v>2</v>
      </c>
      <c r="W48" s="955"/>
      <c r="X48" s="17"/>
      <c r="Y48" s="4" t="str">
        <f t="shared" si="21"/>
        <v>GOED</v>
      </c>
      <c r="Z48" s="4" t="str">
        <f t="shared" si="22"/>
        <v>GOED</v>
      </c>
      <c r="AA48" s="138" t="str">
        <f t="shared" si="23"/>
        <v>30|</v>
      </c>
      <c r="AB48" s="4" t="str">
        <f>IF(ISBLANK(T48),"LEEG",IF(TYPE(T48)=1,IF(AND(T48&lt;10,T48&gt;=0),IF(T48=ROUND(T48,0),"GOED","ONGELDIG"),"HOOG"),"ONGELDIG"))</f>
        <v>GOED</v>
      </c>
      <c r="AC48" s="4" t="str">
        <f>IF(ISBLANK(V48),"LEEG",IF(TYPE(V48)=1,IF(AND(V48&lt;10,V48&gt;=0),IF(V48=ROUND(V48,0),"GOED","ONGELDIG"),"HOOG"),"ONGELDIG"))</f>
        <v>GOED</v>
      </c>
      <c r="AD48" s="138" t="str">
        <f>IF(AB48="GOED",IF(AC48="GOED",T48&amp;V48&amp;"|","FOUT"),"FOUT")</f>
        <v>12|</v>
      </c>
      <c r="AE48" s="285">
        <f t="shared" si="27"/>
        <v>3</v>
      </c>
      <c r="AF48" s="251">
        <v>38</v>
      </c>
      <c r="AG48" s="106" t="str">
        <f t="shared" ca="1" si="0"/>
        <v>ERROR</v>
      </c>
      <c r="AH48" s="171" t="str">
        <f ca="1">RIGHT(AJ46,1)&amp;1</f>
        <v>E1</v>
      </c>
      <c r="AI48" s="168">
        <f ca="1">$AU$87</f>
        <v>1</v>
      </c>
      <c r="AJ48" s="446" t="str">
        <f ca="1">VLOOKUP(AH48,Voorblad!$X$67:$Z$98,2,FALSE)</f>
        <v>België</v>
      </c>
      <c r="AK48" s="159" t="str">
        <f ca="1">VLOOKUP(AH48,Voorblad!$X$67:$Z$98,3,FALSE)</f>
        <v>BE</v>
      </c>
      <c r="AL48" s="203">
        <v>0</v>
      </c>
      <c r="AM48" s="206">
        <f>IF(ISNUMBER(J46),J46,0)</f>
        <v>2</v>
      </c>
      <c r="AN48" s="206">
        <f>IF(ISNUMBER(J48),J48,0)</f>
        <v>3</v>
      </c>
      <c r="AO48" s="206">
        <f>IF(ISNUMBER(L50),L50,0)</f>
        <v>2</v>
      </c>
      <c r="AP48" s="155">
        <f>IF(AA46&lt;&gt;"FOUT",IF(AM48&gt;AL49,3,IF(AM48=AL49,1,0)),0)+IF(AA48&lt;&gt;"FOUT",IF(AN48&gt;AL50,3,IF(AN48=AL50,1,0)),0)+IF(AA50&lt;&gt;"FOUT",IF(AO48&gt;AL51,3,IF(AO48=AL51,1,0)),0)</f>
        <v>9</v>
      </c>
      <c r="AQ48" s="158">
        <f>SUM(AL48:AO48)</f>
        <v>7</v>
      </c>
      <c r="AR48" s="157">
        <f>SUM(AL48:AL51)</f>
        <v>2</v>
      </c>
      <c r="AS48" s="203">
        <v>0</v>
      </c>
      <c r="AT48" s="156">
        <f>IF($AP48=$AP49,AM48,0)</f>
        <v>0</v>
      </c>
      <c r="AU48" s="156">
        <f>IF($AP48=$AP50,AN48,0)</f>
        <v>0</v>
      </c>
      <c r="AV48" s="199">
        <f>IF($AP48=$AP51,AO48,0)</f>
        <v>0</v>
      </c>
      <c r="AW48" s="155">
        <f>IF(AT48&gt;AS49,3,IF(AT48=AS49,1,0))+IF(AU48&gt;AS50,3,IF(AU48=AS50,1,0))+IF(AV48&gt;AS51,3,IF(AV48=AS51,1,0))</f>
        <v>3</v>
      </c>
      <c r="AX48" s="158">
        <f>SUM(AS48:AV48)</f>
        <v>0</v>
      </c>
      <c r="AY48" s="157">
        <f>SUM(AS48:AS51)</f>
        <v>0</v>
      </c>
      <c r="AZ48" s="211">
        <f ca="1">AP48*10000000000000+(500+AQ48-AR48)*10000000000+AQ48*100000000+AW48*1000000+(500+AX48-AY48)*1000+AX48*10+AI48</f>
        <v>95050703500001</v>
      </c>
      <c r="BA48" s="214">
        <f ca="1">RANK(AZ48,AZ48:AZ51)</f>
        <v>1</v>
      </c>
    </row>
    <row r="49" spans="1:53" ht="15" customHeight="1" x14ac:dyDescent="0.25">
      <c r="B49" s="17"/>
      <c r="C49" s="954"/>
      <c r="D49" s="6">
        <v>33</v>
      </c>
      <c r="E49" s="436">
        <f>DATE(2024,6,26)+TIME(18,0,0)</f>
        <v>45469.75</v>
      </c>
      <c r="F49" s="134">
        <f t="shared" si="19"/>
        <v>45469.75</v>
      </c>
      <c r="G49" s="8" t="str">
        <f ca="1">AJ49</f>
        <v>Slowakije</v>
      </c>
      <c r="H49" s="7" t="s">
        <v>12</v>
      </c>
      <c r="I49" s="327" t="str">
        <f ca="1">AJ50</f>
        <v>Roemenië</v>
      </c>
      <c r="J49" s="353">
        <v>2</v>
      </c>
      <c r="K49" s="54" t="s">
        <v>12</v>
      </c>
      <c r="L49" s="353">
        <v>1</v>
      </c>
      <c r="M49" s="9"/>
      <c r="N49" s="6">
        <v>35</v>
      </c>
      <c r="O49" s="436">
        <f>DATE(2024,6,26)+TIME(21,0,0)</f>
        <v>45469.875</v>
      </c>
      <c r="P49" s="134">
        <f t="shared" si="20"/>
        <v>45469.875</v>
      </c>
      <c r="Q49" s="8" t="str">
        <f ca="1">AJ58</f>
        <v>Georgië</v>
      </c>
      <c r="R49" s="7" t="s">
        <v>12</v>
      </c>
      <c r="S49" s="327" t="str">
        <f ca="1">AJ59</f>
        <v>Portugal</v>
      </c>
      <c r="T49" s="353">
        <v>0</v>
      </c>
      <c r="U49" s="54" t="s">
        <v>12</v>
      </c>
      <c r="V49" s="353">
        <v>2</v>
      </c>
      <c r="W49" s="955"/>
      <c r="X49" s="17"/>
      <c r="Y49" s="4" t="str">
        <f t="shared" si="21"/>
        <v>GOED</v>
      </c>
      <c r="Z49" s="4" t="str">
        <f t="shared" si="22"/>
        <v>GOED</v>
      </c>
      <c r="AA49" s="138" t="str">
        <f t="shared" si="23"/>
        <v>21|</v>
      </c>
      <c r="AB49" s="4" t="str">
        <f t="shared" si="24"/>
        <v>GOED</v>
      </c>
      <c r="AC49" s="4" t="str">
        <f t="shared" si="25"/>
        <v>GOED</v>
      </c>
      <c r="AD49" s="138" t="str">
        <f t="shared" si="26"/>
        <v>02|</v>
      </c>
      <c r="AE49" s="285">
        <f t="shared" si="27"/>
        <v>3</v>
      </c>
      <c r="AF49" s="251">
        <v>39</v>
      </c>
      <c r="AG49" s="106" t="str">
        <f t="shared" ca="1" si="0"/>
        <v>ERROR</v>
      </c>
      <c r="AH49" s="171" t="str">
        <f ca="1">RIGHT(AJ46,1)&amp;2</f>
        <v>E2</v>
      </c>
      <c r="AI49" s="168">
        <f ca="1">$AV$87</f>
        <v>4</v>
      </c>
      <c r="AJ49" s="455" t="str">
        <f ca="1">VLOOKUP(AH49,Voorblad!$X$67:$Z$98,2,FALSE)</f>
        <v>Slowakije</v>
      </c>
      <c r="AK49" s="110" t="str">
        <f ca="1">VLOOKUP(AH49,Voorblad!$X$67:$Z$98,3,FALSE)</f>
        <v>SK</v>
      </c>
      <c r="AL49" s="207">
        <f>IF(ISNUMBER(L46),L46,0)</f>
        <v>1</v>
      </c>
      <c r="AM49" s="202">
        <v>0</v>
      </c>
      <c r="AN49" s="163">
        <f>IF(ISNUMBER(J49),J49,0)</f>
        <v>2</v>
      </c>
      <c r="AO49" s="163">
        <f>IF(ISNUMBER(J47),J47,0)</f>
        <v>0</v>
      </c>
      <c r="AP49" s="151">
        <f>IF(AA46&lt;&gt;"FOUT",IF(AL49&gt;AM48,3,IF(AL49=AM48,1,0)),0)+IF(AA49&lt;&gt;"FOUT",IF(AN49&gt;AM50,3,IF(AN49=AM50,1,0)),0)+IF(AA47&lt;&gt;"FOUT",IF(AO49&gt;AM51,3,IF(AO49=AM51,1,0)),0)</f>
        <v>4</v>
      </c>
      <c r="AQ49" s="153">
        <f>SUM(AL49:AO49)</f>
        <v>3</v>
      </c>
      <c r="AR49" s="152">
        <f>SUM(AM48:AM51)</f>
        <v>3</v>
      </c>
      <c r="AS49" s="110">
        <f>IF($AP49=$AP48,AL49,0)</f>
        <v>0</v>
      </c>
      <c r="AT49" s="202">
        <v>0</v>
      </c>
      <c r="AU49" s="69">
        <f>IF($AP49=$AP50,AN49,0)</f>
        <v>0</v>
      </c>
      <c r="AV49" s="200">
        <f>IF($AP49=$AP51,AO49,0)</f>
        <v>0</v>
      </c>
      <c r="AW49" s="151">
        <f>IF(AS49&gt;AT48,3,IF(AS49=AT48,1,0))+IF(AU49&gt;AT50,3,IF(AU49=AT50,1,0))+IF(AV49&gt;AT51,3,IF(AV49=AT51,1,0))</f>
        <v>3</v>
      </c>
      <c r="AX49" s="153">
        <f>SUM(AS49:AV49)</f>
        <v>0</v>
      </c>
      <c r="AY49" s="152">
        <f>SUM(AT48:AT51)</f>
        <v>0</v>
      </c>
      <c r="AZ49" s="212">
        <f ca="1">AP49*10000000000000+(500+AQ49-AR49)*10000000000+AQ49*100000000+AW49*1000000+(500+AX49-AY49)*1000+AX49*10+AI49</f>
        <v>45000303500004</v>
      </c>
      <c r="BA49" s="215">
        <f ca="1">RANK(AZ49,AZ48:AZ51)</f>
        <v>2</v>
      </c>
    </row>
    <row r="50" spans="1:53" ht="15" customHeight="1" x14ac:dyDescent="0.25">
      <c r="B50" s="17"/>
      <c r="C50" s="954"/>
      <c r="D50" s="6">
        <v>34</v>
      </c>
      <c r="E50" s="436">
        <f>E49</f>
        <v>45469.75</v>
      </c>
      <c r="F50" s="134">
        <f t="shared" si="19"/>
        <v>45469.75</v>
      </c>
      <c r="G50" s="8" t="str">
        <f ca="1">AJ51</f>
        <v>Oekraïne</v>
      </c>
      <c r="H50" s="7" t="s">
        <v>12</v>
      </c>
      <c r="I50" s="327" t="str">
        <f ca="1">AJ48</f>
        <v>België</v>
      </c>
      <c r="J50" s="353">
        <v>1</v>
      </c>
      <c r="K50" s="54" t="s">
        <v>12</v>
      </c>
      <c r="L50" s="353">
        <v>2</v>
      </c>
      <c r="M50" s="9"/>
      <c r="N50" s="6">
        <v>36</v>
      </c>
      <c r="O50" s="436">
        <f>O49</f>
        <v>45469.875</v>
      </c>
      <c r="P50" s="134">
        <f t="shared" si="20"/>
        <v>45469.875</v>
      </c>
      <c r="Q50" s="8" t="str">
        <f ca="1">AJ60</f>
        <v>Tsjechië</v>
      </c>
      <c r="R50" s="7" t="s">
        <v>12</v>
      </c>
      <c r="S50" s="327" t="str">
        <f ca="1">AJ57</f>
        <v>Turkije</v>
      </c>
      <c r="T50" s="353">
        <v>2</v>
      </c>
      <c r="U50" s="54" t="s">
        <v>12</v>
      </c>
      <c r="V50" s="353">
        <v>3</v>
      </c>
      <c r="W50" s="955"/>
      <c r="X50" s="17"/>
      <c r="Y50" s="4" t="str">
        <f t="shared" si="21"/>
        <v>GOED</v>
      </c>
      <c r="Z50" s="4" t="str">
        <f t="shared" si="22"/>
        <v>GOED</v>
      </c>
      <c r="AA50" s="138" t="str">
        <f t="shared" si="23"/>
        <v>12|</v>
      </c>
      <c r="AB50" s="4" t="str">
        <f t="shared" si="24"/>
        <v>GOED</v>
      </c>
      <c r="AC50" s="4" t="str">
        <f t="shared" si="25"/>
        <v>GOED</v>
      </c>
      <c r="AD50" s="138" t="str">
        <f t="shared" si="26"/>
        <v>23|</v>
      </c>
      <c r="AE50" s="285">
        <f t="shared" si="27"/>
        <v>5</v>
      </c>
      <c r="AF50" s="251">
        <v>40</v>
      </c>
      <c r="AG50" s="106" t="str">
        <f t="shared" ca="1" si="0"/>
        <v>ERROR</v>
      </c>
      <c r="AH50" s="171" t="str">
        <f ca="1">RIGHT(AJ46,1)&amp;3</f>
        <v>E3</v>
      </c>
      <c r="AI50" s="168">
        <f ca="1">$AW$87</f>
        <v>3</v>
      </c>
      <c r="AJ50" s="455" t="str">
        <f ca="1">VLOOKUP(AH50,Voorblad!$X$67:$Z$98,2,FALSE)</f>
        <v>Roemenië</v>
      </c>
      <c r="AK50" s="110" t="str">
        <f ca="1">VLOOKUP(AH50,Voorblad!$X$67:$Z$98,3,FALSE)</f>
        <v>RO</v>
      </c>
      <c r="AL50" s="207">
        <f>IF(ISNUMBER(L48),L48,0)</f>
        <v>0</v>
      </c>
      <c r="AM50" s="163">
        <f>IF(ISNUMBER(L49),L49,0)</f>
        <v>1</v>
      </c>
      <c r="AN50" s="202">
        <v>0</v>
      </c>
      <c r="AO50" s="163">
        <f>IF(ISNUMBER(J45),J45,0)</f>
        <v>0</v>
      </c>
      <c r="AP50" s="151">
        <f>IF(AA48&lt;&gt;"FOUT",IF(AL50&gt;AN48,3,IF(AL50=AN48,1,0)),0)+IF(AA49&lt;&gt;"FOUT",IF(AM50&gt;AN49,3,IF(AM50=AN49,1,0)),0)+IF(AA45&lt;&gt;"FOUT",IF(AO50&gt;AN51,3,IF(AO50=AN51,1,0)),0)</f>
        <v>0</v>
      </c>
      <c r="AQ50" s="153">
        <f>SUM(AL50:AO50)</f>
        <v>1</v>
      </c>
      <c r="AR50" s="152">
        <f>SUM(AN48:AN51)</f>
        <v>6</v>
      </c>
      <c r="AS50" s="110">
        <f>IF($AP50=$AP48,AL50,0)</f>
        <v>0</v>
      </c>
      <c r="AT50" s="69">
        <f>IF($AP50=$AP49,AM50,0)</f>
        <v>0</v>
      </c>
      <c r="AU50" s="202">
        <v>0</v>
      </c>
      <c r="AV50" s="200">
        <f>IF($AP50=$AP51,AO50,0)</f>
        <v>0</v>
      </c>
      <c r="AW50" s="151">
        <f>IF(AS50&gt;AU48,3,IF(AS50=AU48,1,0))+IF(AT50&gt;AU49,3,IF(AT50=AU49,1,0))+IF(AV50&gt;AU51,3,IF(AV50=AU51,1,0))</f>
        <v>3</v>
      </c>
      <c r="AX50" s="153">
        <f>SUM(AS50:AV50)</f>
        <v>0</v>
      </c>
      <c r="AY50" s="152">
        <f>SUM(AU48:AU51)</f>
        <v>0</v>
      </c>
      <c r="AZ50" s="212">
        <f ca="1">AP50*10000000000000+(500+AQ50-AR50)*10000000000+AQ50*100000000+AW50*1000000+(500+AX50-AY50)*1000+AX50*10+AI50</f>
        <v>4950103500003</v>
      </c>
      <c r="BA50" s="215">
        <f ca="1">RANK(AZ50,AZ48:AZ51)</f>
        <v>4</v>
      </c>
    </row>
    <row r="51" spans="1:53" ht="15" customHeight="1" x14ac:dyDescent="0.25">
      <c r="B51" s="17"/>
      <c r="C51" s="954"/>
      <c r="D51" s="351"/>
      <c r="E51" s="348"/>
      <c r="F51" s="248"/>
      <c r="G51" s="249"/>
      <c r="H51" s="349"/>
      <c r="I51" s="250"/>
      <c r="J51" s="17"/>
      <c r="K51" s="17"/>
      <c r="L51" s="17"/>
      <c r="M51" s="9"/>
      <c r="N51" s="351"/>
      <c r="O51" s="348"/>
      <c r="P51" s="248"/>
      <c r="Q51" s="249"/>
      <c r="R51" s="349"/>
      <c r="S51" s="250"/>
      <c r="T51" s="17"/>
      <c r="U51" s="17"/>
      <c r="V51" s="17"/>
      <c r="W51" s="955"/>
      <c r="X51" s="17"/>
      <c r="Y51" s="4"/>
      <c r="Z51" s="4"/>
      <c r="AA51" s="138"/>
      <c r="AB51" s="4"/>
      <c r="AC51" s="4"/>
      <c r="AD51" s="4"/>
      <c r="AE51" s="849"/>
      <c r="AF51" s="251">
        <v>41</v>
      </c>
      <c r="AG51" s="106" t="str">
        <f t="shared" ca="1" si="0"/>
        <v>ERROR</v>
      </c>
      <c r="AH51" s="171" t="str">
        <f ca="1">RIGHT(AJ46,1)&amp;4</f>
        <v>E4</v>
      </c>
      <c r="AI51" s="168">
        <f ca="1">$AX$87</f>
        <v>2</v>
      </c>
      <c r="AJ51" s="465" t="str">
        <f ca="1">VLOOKUP(AH51,Voorblad!$X$67:$Z$98,2,FALSE)</f>
        <v>Oekraïne</v>
      </c>
      <c r="AK51" s="149" t="str">
        <f ca="1">VLOOKUP(AH51,Voorblad!$X$67:$Z$98,3,FALSE)</f>
        <v>UA</v>
      </c>
      <c r="AL51" s="208">
        <f>IF(ISNUMBER(J50),J50,0)</f>
        <v>1</v>
      </c>
      <c r="AM51" s="209">
        <f>IF(ISNUMBER(L47),L47,0)</f>
        <v>0</v>
      </c>
      <c r="AN51" s="209">
        <f>IF(ISNUMBER(L45),L45,0)</f>
        <v>1</v>
      </c>
      <c r="AO51" s="210">
        <v>0</v>
      </c>
      <c r="AP51" s="428">
        <f>IF(AA50&lt;&gt;"FOUT",IF(AL51&gt;AO48,3,IF(AL51=AO48,1,0)),0)+IF(AA47&lt;&gt;"FOUT",IF(AM51&gt;AO49,3,IF(AM51=AO49,1,0)),0)+IF(AA45&lt;&gt;"FOUT",IF(AN51&gt;AO50,3,IF(AN51=AO50,1,0)),0)</f>
        <v>4</v>
      </c>
      <c r="AQ51" s="148">
        <f>SUM(AL51:AO51)</f>
        <v>2</v>
      </c>
      <c r="AR51" s="147">
        <f>SUM(AO48:AO51)</f>
        <v>2</v>
      </c>
      <c r="AS51" s="149">
        <f>IF($AP51=$AP48,AL51,0)</f>
        <v>0</v>
      </c>
      <c r="AT51" s="146">
        <f>IF($AP51=$AP49,AM51,0)</f>
        <v>0</v>
      </c>
      <c r="AU51" s="146">
        <f>IF($AP51=$AP50,AN51,0)</f>
        <v>0</v>
      </c>
      <c r="AV51" s="201">
        <v>0</v>
      </c>
      <c r="AW51" s="145">
        <f>IF(AS51&gt;AV48,3,IF(AS51=AV48,1,0))+IF(AT51&gt;AV49,3,IF(AT51=AV49,1,0))+IF(AU51&gt;AV50,3,IF(AU51=AV50,1,0))</f>
        <v>3</v>
      </c>
      <c r="AX51" s="148">
        <f>SUM(AS51:AV51)</f>
        <v>0</v>
      </c>
      <c r="AY51" s="147">
        <f>SUM(AV48:AV51)</f>
        <v>0</v>
      </c>
      <c r="AZ51" s="213">
        <f ca="1">AP51*10000000000000+(500+AQ51-AR51)*10000000000+AQ51*100000000+AW51*1000000+(500+AX51-AY51)*1000+AX51*10+AI51</f>
        <v>45000203500002</v>
      </c>
      <c r="BA51" s="216">
        <f ca="1">RANK(AZ51,AZ48:AZ51)</f>
        <v>3</v>
      </c>
    </row>
    <row r="52" spans="1:53" ht="15" customHeight="1" x14ac:dyDescent="0.25">
      <c r="B52" s="17"/>
      <c r="C52" s="959"/>
      <c r="D52" s="381"/>
      <c r="E52" s="381"/>
      <c r="F52" s="381"/>
      <c r="G52" s="381"/>
      <c r="H52" s="381"/>
      <c r="I52" s="381"/>
      <c r="J52" s="381"/>
      <c r="K52" s="381"/>
      <c r="L52" s="381"/>
      <c r="M52" s="381"/>
      <c r="N52" s="381"/>
      <c r="O52" s="381"/>
      <c r="P52" s="381"/>
      <c r="Q52" s="381"/>
      <c r="R52" s="381"/>
      <c r="S52" s="381"/>
      <c r="T52" s="381"/>
      <c r="U52" s="381"/>
      <c r="V52" s="381"/>
      <c r="W52" s="960"/>
      <c r="X52" s="17"/>
      <c r="Y52" s="4"/>
      <c r="Z52" s="4"/>
      <c r="AA52" s="4"/>
      <c r="AB52" s="4"/>
      <c r="AC52" s="4"/>
      <c r="AD52" s="4"/>
      <c r="AE52" s="849"/>
      <c r="AF52" s="251">
        <v>42</v>
      </c>
      <c r="AG52" s="106" t="str">
        <f t="shared" ca="1" si="0"/>
        <v>ERROR</v>
      </c>
      <c r="AH52" s="70"/>
      <c r="AI52" s="70"/>
      <c r="AJ52" s="444" t="s">
        <v>230</v>
      </c>
      <c r="AK52" s="70" t="str">
        <f>IF(COUNTIF(Y45:Z50,"GOED")=12,"JA","NEE")</f>
        <v>JA</v>
      </c>
      <c r="AL52" s="69"/>
      <c r="AM52" s="69"/>
      <c r="AN52" s="69"/>
      <c r="AO52" s="69"/>
      <c r="AP52" s="69"/>
      <c r="AQ52" s="69"/>
      <c r="AR52" s="69"/>
      <c r="AS52" s="182"/>
      <c r="AT52" s="182"/>
      <c r="AU52" s="182"/>
      <c r="AV52" s="182"/>
      <c r="AW52" s="182"/>
      <c r="AX52" s="182"/>
      <c r="AY52" s="182"/>
      <c r="AZ52" s="182"/>
      <c r="BA52" s="70"/>
    </row>
    <row r="53" spans="1:53" ht="20.100000000000001" hidden="1" customHeight="1" x14ac:dyDescent="0.4">
      <c r="A53" s="112" t="s">
        <v>169</v>
      </c>
      <c r="B53" s="17"/>
      <c r="C53" s="959"/>
      <c r="D53" s="828" t="str">
        <f ca="1">Taal04!$B$26&amp;" G"</f>
        <v>Groep G</v>
      </c>
      <c r="E53" s="17"/>
      <c r="F53" s="17"/>
      <c r="G53" s="17"/>
      <c r="H53" s="17"/>
      <c r="I53" s="17"/>
      <c r="J53" s="17"/>
      <c r="K53" s="17"/>
      <c r="L53" s="17"/>
      <c r="M53" s="381"/>
      <c r="N53" s="828" t="str">
        <f ca="1">Taal04!$B$26&amp;" H"</f>
        <v>Groep H</v>
      </c>
      <c r="O53" s="17"/>
      <c r="P53" s="17"/>
      <c r="Q53" s="17"/>
      <c r="R53" s="17"/>
      <c r="S53" s="17"/>
      <c r="T53" s="17"/>
      <c r="U53" s="17"/>
      <c r="V53" s="17"/>
      <c r="W53" s="960"/>
      <c r="X53" s="17"/>
      <c r="Y53" s="1145" t="str">
        <f ca="1">"Controle "&amp;D53</f>
        <v>Controle Groep G</v>
      </c>
      <c r="Z53" s="1145"/>
      <c r="AA53" s="1145"/>
      <c r="AB53" s="1145" t="str">
        <f ca="1">"Controle "&amp;N53</f>
        <v>Controle Groep H</v>
      </c>
      <c r="AC53" s="1145"/>
      <c r="AD53" s="1145"/>
      <c r="AE53" s="849"/>
      <c r="AF53" s="251">
        <v>43</v>
      </c>
      <c r="AG53" s="106" t="str">
        <f t="shared" ca="1" si="0"/>
        <v>ERROR</v>
      </c>
      <c r="AH53" s="1116"/>
      <c r="AI53" s="1116"/>
      <c r="AJ53" s="489"/>
      <c r="AK53" s="1116" t="s">
        <v>175</v>
      </c>
      <c r="AL53" s="1116" t="str">
        <f ca="1">AJ57</f>
        <v>Turkije</v>
      </c>
      <c r="AM53" s="1116" t="str">
        <f ca="1">AJ58</f>
        <v>Georgië</v>
      </c>
      <c r="AN53" s="1116" t="str">
        <f ca="1">AJ59</f>
        <v>Portugal</v>
      </c>
      <c r="AO53" s="1116" t="str">
        <f ca="1">AJ60</f>
        <v>Tsjechië</v>
      </c>
      <c r="AP53" s="1116" t="s">
        <v>98</v>
      </c>
      <c r="AQ53" s="1116" t="s">
        <v>174</v>
      </c>
      <c r="AR53" s="1116" t="s">
        <v>173</v>
      </c>
      <c r="AS53" s="1116" t="str">
        <f ca="1">"Gelijk met "&amp;AH57</f>
        <v>Gelijk met F1</v>
      </c>
      <c r="AT53" s="1116" t="str">
        <f ca="1">"Gelijk met "&amp;AH58</f>
        <v>Gelijk met F2</v>
      </c>
      <c r="AU53" s="1116" t="str">
        <f ca="1">"Gelijk met "&amp;AH59</f>
        <v>Gelijk met F3</v>
      </c>
      <c r="AV53" s="1116" t="str">
        <f ca="1">"Gelijk met "&amp;AH60</f>
        <v>Gelijk met F4</v>
      </c>
      <c r="AW53" s="1116" t="s">
        <v>98</v>
      </c>
      <c r="AX53" s="1116" t="s">
        <v>174</v>
      </c>
      <c r="AY53" s="1116" t="s">
        <v>173</v>
      </c>
      <c r="AZ53" s="1116" t="s">
        <v>231</v>
      </c>
      <c r="BA53" s="1116" t="s">
        <v>73</v>
      </c>
    </row>
    <row r="54" spans="1:53" ht="15" hidden="1" customHeight="1" x14ac:dyDescent="0.25">
      <c r="A54" s="576" t="str">
        <f>IF(A53="H","H","")</f>
        <v>H</v>
      </c>
      <c r="B54" s="17"/>
      <c r="C54" s="959"/>
      <c r="D54" s="107"/>
      <c r="E54" s="939" t="str">
        <f ca="1">Taal04!$B$20</f>
        <v>Datum</v>
      </c>
      <c r="F54" s="939" t="str">
        <f ca="1">Taal04!$B$21</f>
        <v>Tijd</v>
      </c>
      <c r="G54" s="1142" t="str">
        <f ca="1">Taal04!$B$22</f>
        <v>Wedstrijd</v>
      </c>
      <c r="H54" s="1142"/>
      <c r="I54" s="1142"/>
      <c r="J54" s="1142" t="str">
        <f ca="1">Taal04!$B$24</f>
        <v>Eindstand</v>
      </c>
      <c r="K54" s="1143"/>
      <c r="L54" s="1143"/>
      <c r="M54" s="77"/>
      <c r="N54" s="107"/>
      <c r="O54" s="939" t="str">
        <f ca="1">Taal04!$B$20</f>
        <v>Datum</v>
      </c>
      <c r="P54" s="939" t="s">
        <v>11</v>
      </c>
      <c r="Q54" s="1142" t="str">
        <f ca="1">Taal04!$B$22</f>
        <v>Wedstrijd</v>
      </c>
      <c r="R54" s="1142"/>
      <c r="S54" s="1142"/>
      <c r="T54" s="1142" t="str">
        <f ca="1">Taal04!$B$24</f>
        <v>Eindstand</v>
      </c>
      <c r="U54" s="1143"/>
      <c r="V54" s="1143"/>
      <c r="W54" s="960"/>
      <c r="X54" s="17"/>
      <c r="Y54" s="382" t="s">
        <v>24</v>
      </c>
      <c r="Z54" s="382" t="s">
        <v>25</v>
      </c>
      <c r="AA54" s="443" t="s">
        <v>0</v>
      </c>
      <c r="AB54" s="382" t="s">
        <v>24</v>
      </c>
      <c r="AC54" s="382" t="s">
        <v>25</v>
      </c>
      <c r="AD54" s="443" t="s">
        <v>0</v>
      </c>
      <c r="AE54" s="849"/>
      <c r="AF54" s="251">
        <v>44</v>
      </c>
      <c r="AG54" s="106" t="str">
        <f t="shared" ca="1" si="0"/>
        <v>ERROR</v>
      </c>
      <c r="AH54" s="1116"/>
      <c r="AI54" s="1116"/>
      <c r="AJ54" s="489"/>
      <c r="AK54" s="1116"/>
      <c r="AL54" s="1116"/>
      <c r="AM54" s="1116"/>
      <c r="AN54" s="1116"/>
      <c r="AO54" s="1116"/>
      <c r="AP54" s="1116"/>
      <c r="AQ54" s="1116"/>
      <c r="AR54" s="1116"/>
      <c r="AS54" s="1116"/>
      <c r="AT54" s="1116"/>
      <c r="AU54" s="1116"/>
      <c r="AV54" s="1116"/>
      <c r="AW54" s="1116"/>
      <c r="AX54" s="1116"/>
      <c r="AY54" s="1116"/>
      <c r="AZ54" s="1116"/>
      <c r="BA54" s="1116"/>
    </row>
    <row r="55" spans="1:53" ht="15" hidden="1" customHeight="1" x14ac:dyDescent="0.25">
      <c r="A55" s="576" t="str">
        <f t="shared" ref="A55:A60" si="28">IF(A54="H","H","")</f>
        <v>H</v>
      </c>
      <c r="B55" s="17"/>
      <c r="C55" s="959"/>
      <c r="D55" s="6">
        <v>80</v>
      </c>
      <c r="E55" s="11">
        <f>DATE(2024,7,15)+TIME(12,0,0)</f>
        <v>45488.5</v>
      </c>
      <c r="F55" s="134">
        <f t="shared" ref="F55:F60" si="29">E55+TIME(0,0,0)</f>
        <v>45488.5</v>
      </c>
      <c r="G55" s="440" t="str">
        <f ca="1">AJ68</f>
        <v>ZZZ_land_G3</v>
      </c>
      <c r="H55" s="441" t="s">
        <v>12</v>
      </c>
      <c r="I55" s="442" t="str">
        <f ca="1">AJ69</f>
        <v>ZZZ_land_G4</v>
      </c>
      <c r="J55" s="353"/>
      <c r="K55" s="54" t="s">
        <v>12</v>
      </c>
      <c r="L55" s="353"/>
      <c r="M55" s="439"/>
      <c r="N55" s="6">
        <v>90</v>
      </c>
      <c r="O55" s="11">
        <f t="shared" ref="O55:O59" si="30">DATE(2024,7,15)+TIME(12,0,0)</f>
        <v>45488.5</v>
      </c>
      <c r="P55" s="134">
        <f t="shared" ref="P55:P60" si="31">O55+TIME(0,0,0)</f>
        <v>45488.5</v>
      </c>
      <c r="Q55" s="440" t="str">
        <f ca="1">AJ77</f>
        <v>ZZZ_land_H3</v>
      </c>
      <c r="R55" s="441" t="s">
        <v>12</v>
      </c>
      <c r="S55" s="442" t="str">
        <f ca="1">AJ78</f>
        <v>ZZZ_land_H4</v>
      </c>
      <c r="T55" s="353"/>
      <c r="U55" s="54" t="s">
        <v>12</v>
      </c>
      <c r="V55" s="353"/>
      <c r="W55" s="960"/>
      <c r="X55" s="17"/>
      <c r="Y55" s="382" t="str">
        <f>IF($A55="H","",IF(ISBLANK(J55),"LEEG",IF(TYPE(J55)=1,IF(AND(J55&lt;10,J55&gt;=0),IF(J55=ROUND(J55,0),"GOED","ONGELDIG"),"HOOG"),"ONGELDIG")))</f>
        <v/>
      </c>
      <c r="Z55" s="382" t="str">
        <f>IF($A55="H","",IF(ISBLANK(L55),"LEEG",IF(TYPE(L55)=1,IF(AND(L55&lt;10,L55&gt;=0),IF(L55=ROUND(L55,0),"GOED","ONGELDIG"),"HOOG"),"ONGELDIG")))</f>
        <v/>
      </c>
      <c r="AA55" s="443" t="str">
        <f t="shared" ref="AA55:AA60" si="32">IF(Y55="GOED",IF(Z55="GOED",J55&amp;L55&amp;"|","FOUT"),"FOUT")</f>
        <v>FOUT</v>
      </c>
      <c r="AB55" s="382" t="str">
        <f>IF($A55="H","",IF(ISBLANK(T55),"LEEG",IF(TYPE(T55)=1,IF(AND(T55&lt;10,T55&gt;=0),IF(T55=ROUND(T55,0),"GOED","ONGELDIG"),"HOOG"),"ONGELDIG")))</f>
        <v/>
      </c>
      <c r="AC55" s="382" t="str">
        <f>IF($A55="H","",IF(ISBLANK(V55),"LEEG",IF(TYPE(V55)=1,IF(AND(V55&lt;10,V55&gt;=0),IF(V55=ROUND(V55,0),"GOED","ONGELDIG"),"HOOG"),"ONGELDIG")))</f>
        <v/>
      </c>
      <c r="AD55" s="443" t="str">
        <f t="shared" ref="AD55:AD60" si="33">IF(AB55="GOED",IF(AC55="GOED",T55&amp;V55&amp;"|","FOUT"),"FOUT")</f>
        <v>FOUT</v>
      </c>
      <c r="AE55" s="285">
        <f t="shared" ref="AE55:AE60" si="34">IF(AND(Y55="GOED",Z55="GOED",AB55="GOED",AB55="GOED"),IF(J55+L55&gt;T55+V55,J55+L55,T55+V55),IF(AND(Y55="GOED",Z55="GOED"),J55+L55,IF(AND(AB55="GOED",AB55="GOED"),T55+V55,0)))</f>
        <v>0</v>
      </c>
      <c r="AF55" s="251">
        <v>45</v>
      </c>
      <c r="AG55" s="106" t="str">
        <f t="shared" ca="1" si="0"/>
        <v>ERROR</v>
      </c>
      <c r="AH55" s="1116"/>
      <c r="AI55" s="1116"/>
      <c r="AJ55" s="445" t="str">
        <f ca="1">N43</f>
        <v>Groep F</v>
      </c>
      <c r="AK55" s="1116"/>
      <c r="AL55" s="1116"/>
      <c r="AM55" s="1116"/>
      <c r="AN55" s="1116"/>
      <c r="AO55" s="1116"/>
      <c r="AP55" s="1116"/>
      <c r="AQ55" s="1116"/>
      <c r="AR55" s="1116"/>
      <c r="AS55" s="1116"/>
      <c r="AT55" s="1116"/>
      <c r="AU55" s="1116"/>
      <c r="AV55" s="1116"/>
      <c r="AW55" s="1116"/>
      <c r="AX55" s="1116"/>
      <c r="AY55" s="1116"/>
      <c r="AZ55" s="1116"/>
      <c r="BA55" s="1116"/>
    </row>
    <row r="56" spans="1:53" ht="15" hidden="1" customHeight="1" x14ac:dyDescent="0.25">
      <c r="A56" s="576" t="str">
        <f t="shared" si="28"/>
        <v>H</v>
      </c>
      <c r="B56" s="17"/>
      <c r="C56" s="959"/>
      <c r="D56" s="6">
        <v>81</v>
      </c>
      <c r="E56" s="11">
        <f t="shared" ref="E56:E59" si="35">DATE(2024,7,15)+TIME(12,0,0)</f>
        <v>45488.5</v>
      </c>
      <c r="F56" s="134">
        <f t="shared" si="29"/>
        <v>45488.5</v>
      </c>
      <c r="G56" s="440" t="str">
        <f ca="1">AJ66</f>
        <v>ZZZ_land_G1</v>
      </c>
      <c r="H56" s="441" t="s">
        <v>12</v>
      </c>
      <c r="I56" s="442" t="str">
        <f ca="1">AJ67</f>
        <v>ZZZ_land_G2</v>
      </c>
      <c r="J56" s="353"/>
      <c r="K56" s="54" t="s">
        <v>12</v>
      </c>
      <c r="L56" s="353"/>
      <c r="M56" s="439"/>
      <c r="N56" s="6">
        <v>91</v>
      </c>
      <c r="O56" s="11">
        <f t="shared" si="30"/>
        <v>45488.5</v>
      </c>
      <c r="P56" s="134">
        <f t="shared" si="31"/>
        <v>45488.5</v>
      </c>
      <c r="Q56" s="440" t="str">
        <f ca="1">AJ75</f>
        <v>ZZZ_land_H1</v>
      </c>
      <c r="R56" s="441" t="s">
        <v>12</v>
      </c>
      <c r="S56" s="442" t="str">
        <f ca="1">AJ76</f>
        <v>ZZZ_land_H2</v>
      </c>
      <c r="T56" s="353"/>
      <c r="U56" s="54" t="s">
        <v>12</v>
      </c>
      <c r="V56" s="353"/>
      <c r="W56" s="960"/>
      <c r="X56" s="17"/>
      <c r="Y56" s="382" t="str">
        <f t="shared" ref="Y56:Y60" si="36">IF($A56="H","",IF(ISBLANK(J56),"LEEG",IF(TYPE(J56)=1,IF(AND(J56&lt;10,J56&gt;=0),IF(J56=ROUND(J56,0),"GOED","ONGELDIG"),"HOOG"),"ONGELDIG")))</f>
        <v/>
      </c>
      <c r="Z56" s="382" t="str">
        <f t="shared" ref="Z56:Z60" si="37">IF($A56="H","",IF(ISBLANK(L56),"LEEG",IF(TYPE(L56)=1,IF(AND(L56&lt;10,L56&gt;=0),IF(L56=ROUND(L56,0),"GOED","ONGELDIG"),"HOOG"),"ONGELDIG")))</f>
        <v/>
      </c>
      <c r="AA56" s="443" t="str">
        <f t="shared" si="32"/>
        <v>FOUT</v>
      </c>
      <c r="AB56" s="382" t="str">
        <f t="shared" ref="AB56:AB60" si="38">IF($A56="H","",IF(ISBLANK(T56),"LEEG",IF(TYPE(T56)=1,IF(AND(T56&lt;10,T56&gt;=0),IF(T56=ROUND(T56,0),"GOED","ONGELDIG"),"HOOG"),"ONGELDIG")))</f>
        <v/>
      </c>
      <c r="AC56" s="382" t="str">
        <f t="shared" ref="AC56:AC60" si="39">IF($A56="H","",IF(ISBLANK(V56),"LEEG",IF(TYPE(V56)=1,IF(AND(V56&lt;10,V56&gt;=0),IF(V56=ROUND(V56,0),"GOED","ONGELDIG"),"HOOG"),"ONGELDIG")))</f>
        <v/>
      </c>
      <c r="AD56" s="443" t="str">
        <f t="shared" si="33"/>
        <v>FOUT</v>
      </c>
      <c r="AE56" s="285">
        <f t="shared" si="34"/>
        <v>0</v>
      </c>
      <c r="AF56" s="251">
        <v>46</v>
      </c>
      <c r="AG56" s="106" t="str">
        <f t="shared" ca="1" si="0"/>
        <v>ERROR</v>
      </c>
      <c r="AH56" s="1116"/>
      <c r="AI56" s="1116"/>
      <c r="AJ56" s="444" t="s">
        <v>17</v>
      </c>
      <c r="AK56" s="1116"/>
      <c r="AL56" s="1116"/>
      <c r="AM56" s="1116"/>
      <c r="AN56" s="1116"/>
      <c r="AO56" s="1116"/>
      <c r="AP56" s="1116"/>
      <c r="AQ56" s="1116"/>
      <c r="AR56" s="1116"/>
      <c r="AS56" s="1116"/>
      <c r="AT56" s="1116"/>
      <c r="AU56" s="1116"/>
      <c r="AV56" s="1116"/>
      <c r="AW56" s="1116"/>
      <c r="AX56" s="1116"/>
      <c r="AY56" s="1116"/>
      <c r="AZ56" s="1116"/>
      <c r="BA56" s="1116"/>
    </row>
    <row r="57" spans="1:53" ht="15" hidden="1" customHeight="1" x14ac:dyDescent="0.25">
      <c r="A57" s="576" t="str">
        <f t="shared" si="28"/>
        <v>H</v>
      </c>
      <c r="B57" s="17"/>
      <c r="C57" s="959"/>
      <c r="D57" s="6">
        <v>82</v>
      </c>
      <c r="E57" s="11">
        <f t="shared" si="35"/>
        <v>45488.5</v>
      </c>
      <c r="F57" s="134">
        <f t="shared" si="29"/>
        <v>45488.5</v>
      </c>
      <c r="G57" s="440" t="str">
        <f ca="1">AJ69</f>
        <v>ZZZ_land_G4</v>
      </c>
      <c r="H57" s="441" t="s">
        <v>12</v>
      </c>
      <c r="I57" s="442" t="str">
        <f ca="1">AJ67</f>
        <v>ZZZ_land_G2</v>
      </c>
      <c r="J57" s="353"/>
      <c r="K57" s="54" t="s">
        <v>12</v>
      </c>
      <c r="L57" s="353"/>
      <c r="M57" s="439"/>
      <c r="N57" s="6">
        <v>92</v>
      </c>
      <c r="O57" s="11">
        <f t="shared" si="30"/>
        <v>45488.5</v>
      </c>
      <c r="P57" s="134">
        <f t="shared" si="31"/>
        <v>45488.5</v>
      </c>
      <c r="Q57" s="440" t="str">
        <f ca="1">AJ78</f>
        <v>ZZZ_land_H4</v>
      </c>
      <c r="R57" s="441" t="s">
        <v>12</v>
      </c>
      <c r="S57" s="442" t="str">
        <f ca="1">AJ76</f>
        <v>ZZZ_land_H2</v>
      </c>
      <c r="T57" s="353"/>
      <c r="U57" s="54" t="s">
        <v>12</v>
      </c>
      <c r="V57" s="353"/>
      <c r="W57" s="960"/>
      <c r="X57" s="17"/>
      <c r="Y57" s="382" t="str">
        <f t="shared" si="36"/>
        <v/>
      </c>
      <c r="Z57" s="382" t="str">
        <f t="shared" si="37"/>
        <v/>
      </c>
      <c r="AA57" s="443" t="str">
        <f t="shared" si="32"/>
        <v>FOUT</v>
      </c>
      <c r="AB57" s="382" t="str">
        <f t="shared" si="38"/>
        <v/>
      </c>
      <c r="AC57" s="382" t="str">
        <f t="shared" si="39"/>
        <v/>
      </c>
      <c r="AD57" s="443" t="str">
        <f t="shared" si="33"/>
        <v>FOUT</v>
      </c>
      <c r="AE57" s="285">
        <f t="shared" si="34"/>
        <v>0</v>
      </c>
      <c r="AF57" s="251">
        <v>47</v>
      </c>
      <c r="AG57" s="106" t="str">
        <f t="shared" ca="1" si="0"/>
        <v>ERROR</v>
      </c>
      <c r="AH57" s="171" t="str">
        <f ca="1">RIGHT(AJ55,1)&amp;1</f>
        <v>F1</v>
      </c>
      <c r="AI57" s="168">
        <f ca="1">$AU$88</f>
        <v>4</v>
      </c>
      <c r="AJ57" s="446" t="str">
        <f ca="1">VLOOKUP(AH57,Voorblad!$X$67:$Z$98,2,FALSE)</f>
        <v>Turkije</v>
      </c>
      <c r="AK57" s="159" t="str">
        <f ca="1">VLOOKUP(AH57,Voorblad!$X$67:$Z$98,3,FALSE)</f>
        <v>TR</v>
      </c>
      <c r="AL57" s="203">
        <v>0</v>
      </c>
      <c r="AM57" s="206">
        <f>IF(ISNUMBER(T45),T45,0)</f>
        <v>2</v>
      </c>
      <c r="AN57" s="206">
        <f>IF(ISNUMBER(T48),T48,0)</f>
        <v>1</v>
      </c>
      <c r="AO57" s="206">
        <f>IF(ISNUMBER(V50),V50,0)</f>
        <v>3</v>
      </c>
      <c r="AP57" s="155">
        <f>IF(AD45&lt;&gt;"FOUT",IF(AM57&gt;AL58,3,IF(AM57=AL58,1,0)),0)+IF(AD48&lt;&gt;"FOUT",IF(AN57&gt;AL59,3,IF(AN57=AL59,1,0)),0)+IF(AD50&lt;&gt;"FOUT",IF(AO57&gt;AL60,3,IF(AO57=AL60,1,0)),0)</f>
        <v>6</v>
      </c>
      <c r="AQ57" s="158">
        <f>SUM(AL57:AO57)</f>
        <v>6</v>
      </c>
      <c r="AR57" s="157">
        <f>SUM(AL57:AL60)</f>
        <v>5</v>
      </c>
      <c r="AS57" s="203">
        <v>0</v>
      </c>
      <c r="AT57" s="156">
        <f>IF($AP57=$AP58,AM57,0)</f>
        <v>0</v>
      </c>
      <c r="AU57" s="156">
        <f>IF($AP57=$AP59,AN57,0)</f>
        <v>0</v>
      </c>
      <c r="AV57" s="199">
        <f>IF($AP57=$AP60,AO57,0)</f>
        <v>0</v>
      </c>
      <c r="AW57" s="155">
        <f>IF(AT57&gt;AS58,3,IF(AT57=AS58,1,0))+IF(AU57&gt;AS59,3,IF(AU57=AS59,1,0))+IF(AV57&gt;AS60,3,IF(AV57=AS60,1,0))</f>
        <v>3</v>
      </c>
      <c r="AX57" s="158">
        <f>SUM(AS57:AV57)</f>
        <v>0</v>
      </c>
      <c r="AY57" s="157">
        <f>SUM(AS57:AS60)</f>
        <v>0</v>
      </c>
      <c r="AZ57" s="211">
        <f ca="1">AP57*10000000000000+(500+AQ57-AR57)*10000000000+AQ57*100000000+AW57*1000000+(500+AX57-AY57)*1000+AX57*10+AI57</f>
        <v>65010603500004</v>
      </c>
      <c r="BA57" s="214">
        <f ca="1">RANK(AZ57,AZ57:AZ60)</f>
        <v>2</v>
      </c>
    </row>
    <row r="58" spans="1:53" ht="15" hidden="1" customHeight="1" x14ac:dyDescent="0.25">
      <c r="A58" s="576" t="str">
        <f t="shared" si="28"/>
        <v>H</v>
      </c>
      <c r="B58" s="17"/>
      <c r="C58" s="959"/>
      <c r="D58" s="6">
        <v>83</v>
      </c>
      <c r="E58" s="11">
        <f t="shared" si="35"/>
        <v>45488.5</v>
      </c>
      <c r="F58" s="134">
        <f t="shared" si="29"/>
        <v>45488.5</v>
      </c>
      <c r="G58" s="440" t="str">
        <f ca="1">AJ66</f>
        <v>ZZZ_land_G1</v>
      </c>
      <c r="H58" s="441" t="s">
        <v>12</v>
      </c>
      <c r="I58" s="442" t="str">
        <f ca="1">AJ68</f>
        <v>ZZZ_land_G3</v>
      </c>
      <c r="J58" s="353"/>
      <c r="K58" s="54" t="s">
        <v>12</v>
      </c>
      <c r="L58" s="353"/>
      <c r="M58" s="439"/>
      <c r="N58" s="6">
        <v>93</v>
      </c>
      <c r="O58" s="11">
        <f t="shared" si="30"/>
        <v>45488.5</v>
      </c>
      <c r="P58" s="134">
        <f t="shared" si="31"/>
        <v>45488.5</v>
      </c>
      <c r="Q58" s="440" t="str">
        <f ca="1">AJ75</f>
        <v>ZZZ_land_H1</v>
      </c>
      <c r="R58" s="441" t="s">
        <v>12</v>
      </c>
      <c r="S58" s="442" t="str">
        <f ca="1">AJ77</f>
        <v>ZZZ_land_H3</v>
      </c>
      <c r="T58" s="353"/>
      <c r="U58" s="54" t="s">
        <v>12</v>
      </c>
      <c r="V58" s="353"/>
      <c r="W58" s="960"/>
      <c r="X58" s="17"/>
      <c r="Y58" s="382" t="str">
        <f t="shared" si="36"/>
        <v/>
      </c>
      <c r="Z58" s="382" t="str">
        <f t="shared" si="37"/>
        <v/>
      </c>
      <c r="AA58" s="443" t="str">
        <f t="shared" si="32"/>
        <v>FOUT</v>
      </c>
      <c r="AB58" s="382" t="str">
        <f t="shared" si="38"/>
        <v/>
      </c>
      <c r="AC58" s="382" t="str">
        <f t="shared" si="39"/>
        <v/>
      </c>
      <c r="AD58" s="443" t="str">
        <f t="shared" si="33"/>
        <v>FOUT</v>
      </c>
      <c r="AE58" s="285">
        <f t="shared" si="34"/>
        <v>0</v>
      </c>
      <c r="AF58" s="251">
        <v>48</v>
      </c>
      <c r="AG58" s="106" t="str">
        <f t="shared" ca="1" si="0"/>
        <v>ERROR</v>
      </c>
      <c r="AH58" s="171" t="str">
        <f ca="1">RIGHT(AJ55,1)&amp;2</f>
        <v>F2</v>
      </c>
      <c r="AI58" s="168">
        <f ca="1">$AV$88</f>
        <v>1</v>
      </c>
      <c r="AJ58" s="455" t="str">
        <f ca="1">VLOOKUP(AH58,Voorblad!$X$67:$Z$98,2,FALSE)</f>
        <v>Georgië</v>
      </c>
      <c r="AK58" s="110" t="str">
        <f ca="1">VLOOKUP(AH58,Voorblad!$X$67:$Z$98,3,FALSE)</f>
        <v>GE</v>
      </c>
      <c r="AL58" s="207">
        <f>IF(ISNUMBER(V45),V45,0)</f>
        <v>1</v>
      </c>
      <c r="AM58" s="202">
        <v>0</v>
      </c>
      <c r="AN58" s="163">
        <f>IF(ISNUMBER(T49),T49,0)</f>
        <v>0</v>
      </c>
      <c r="AO58" s="163">
        <f>IF(ISNUMBER(T47),T47,0)</f>
        <v>1</v>
      </c>
      <c r="AP58" s="151">
        <f>IF(AD45&lt;&gt;"FOUT",IF(AL58&gt;AM57,3,IF(AL58=AM57,1,0)),0)+IF(AD49&lt;&gt;"FOUT",IF(AN58&gt;AM59,3,IF(AN58=AM59,1,0)),0)+IF(AD47&lt;&gt;"FOUT",IF(AO58&gt;AM60,3,IF(AO58=AM60,1,0)),0)</f>
        <v>0</v>
      </c>
      <c r="AQ58" s="153">
        <f>SUM(AL58:AO58)</f>
        <v>2</v>
      </c>
      <c r="AR58" s="152">
        <f>SUM(AM57:AM60)</f>
        <v>6</v>
      </c>
      <c r="AS58" s="110">
        <f>IF($AP58=$AP57,AL58,0)</f>
        <v>0</v>
      </c>
      <c r="AT58" s="202">
        <v>0</v>
      </c>
      <c r="AU58" s="69">
        <f>IF($AP58=$AP59,AN58,0)</f>
        <v>0</v>
      </c>
      <c r="AV58" s="200">
        <f>IF($AP58=$AP60,AO58,0)</f>
        <v>0</v>
      </c>
      <c r="AW58" s="151">
        <f>IF(AS58&gt;AT57,3,IF(AS58=AT57,1,0))+IF(AU58&gt;AT59,3,IF(AU58=AT59,1,0))+IF(AV58&gt;AT60,3,IF(AV58=AT60,1,0))</f>
        <v>3</v>
      </c>
      <c r="AX58" s="153">
        <f>SUM(AS58:AV58)</f>
        <v>0</v>
      </c>
      <c r="AY58" s="152">
        <f>SUM(AT57:AT60)</f>
        <v>0</v>
      </c>
      <c r="AZ58" s="212">
        <f ca="1">AP58*10000000000000+(500+AQ58-AR58)*10000000000+AQ58*100000000+AW58*1000000+(500+AX58-AY58)*1000+AX58*10+AI58</f>
        <v>4960203500001</v>
      </c>
      <c r="BA58" s="215">
        <f ca="1">RANK(AZ58,AZ57:AZ60)</f>
        <v>4</v>
      </c>
    </row>
    <row r="59" spans="1:53" ht="15" hidden="1" customHeight="1" x14ac:dyDescent="0.25">
      <c r="A59" s="576" t="str">
        <f t="shared" si="28"/>
        <v>H</v>
      </c>
      <c r="B59" s="17"/>
      <c r="C59" s="959"/>
      <c r="D59" s="6">
        <v>84</v>
      </c>
      <c r="E59" s="11">
        <f t="shared" si="35"/>
        <v>45488.5</v>
      </c>
      <c r="F59" s="134">
        <f t="shared" si="29"/>
        <v>45488.5</v>
      </c>
      <c r="G59" s="440" t="str">
        <f ca="1">AJ67</f>
        <v>ZZZ_land_G2</v>
      </c>
      <c r="H59" s="441" t="s">
        <v>12</v>
      </c>
      <c r="I59" s="442" t="str">
        <f ca="1">AJ68</f>
        <v>ZZZ_land_G3</v>
      </c>
      <c r="J59" s="353"/>
      <c r="K59" s="54" t="s">
        <v>12</v>
      </c>
      <c r="L59" s="353"/>
      <c r="M59" s="439"/>
      <c r="N59" s="6">
        <v>94</v>
      </c>
      <c r="O59" s="11">
        <f t="shared" si="30"/>
        <v>45488.5</v>
      </c>
      <c r="P59" s="134">
        <f t="shared" si="31"/>
        <v>45488.5</v>
      </c>
      <c r="Q59" s="440" t="str">
        <f ca="1">AJ76</f>
        <v>ZZZ_land_H2</v>
      </c>
      <c r="R59" s="441" t="s">
        <v>12</v>
      </c>
      <c r="S59" s="442" t="str">
        <f ca="1">AJ77</f>
        <v>ZZZ_land_H3</v>
      </c>
      <c r="T59" s="353"/>
      <c r="U59" s="54" t="s">
        <v>12</v>
      </c>
      <c r="V59" s="353"/>
      <c r="W59" s="960"/>
      <c r="X59" s="17"/>
      <c r="Y59" s="382" t="str">
        <f t="shared" si="36"/>
        <v/>
      </c>
      <c r="Z59" s="382" t="str">
        <f t="shared" si="37"/>
        <v/>
      </c>
      <c r="AA59" s="443" t="str">
        <f t="shared" si="32"/>
        <v>FOUT</v>
      </c>
      <c r="AB59" s="382" t="str">
        <f t="shared" si="38"/>
        <v/>
      </c>
      <c r="AC59" s="382" t="str">
        <f t="shared" si="39"/>
        <v/>
      </c>
      <c r="AD59" s="443" t="str">
        <f t="shared" si="33"/>
        <v>FOUT</v>
      </c>
      <c r="AE59" s="285">
        <f t="shared" si="34"/>
        <v>0</v>
      </c>
      <c r="AF59" s="41"/>
      <c r="AG59" s="41"/>
      <c r="AH59" s="171" t="str">
        <f ca="1">RIGHT(AJ55,1)&amp;3</f>
        <v>F3</v>
      </c>
      <c r="AI59" s="168">
        <f ca="1">$AW$88</f>
        <v>2</v>
      </c>
      <c r="AJ59" s="455" t="str">
        <f ca="1">VLOOKUP(AH59,Voorblad!$X$67:$Z$98,2,FALSE)</f>
        <v>Portugal</v>
      </c>
      <c r="AK59" s="110" t="str">
        <f ca="1">VLOOKUP(AH59,Voorblad!$X$67:$Z$98,3,FALSE)</f>
        <v>PT</v>
      </c>
      <c r="AL59" s="207">
        <f>IF(ISNUMBER(V48),V48,0)</f>
        <v>2</v>
      </c>
      <c r="AM59" s="163">
        <f>IF(ISNUMBER(V49),V49,0)</f>
        <v>2</v>
      </c>
      <c r="AN59" s="202">
        <v>0</v>
      </c>
      <c r="AO59" s="163">
        <f>IF(ISNUMBER(T46),T46,0)</f>
        <v>3</v>
      </c>
      <c r="AP59" s="151">
        <f>IF(AD48&lt;&gt;"FOUT",IF(AL59&gt;AN57,3,IF(AL59=AN57,1,0)),0)+IF(AD49&lt;&gt;"FOUT",IF(AM59&gt;AN58,3,IF(AM59=AN58,1,0)),0)+IF(AD46&lt;&gt;"FOUT",IF(AO59&gt;AN60,3,IF(AO59=AN60,1,0)),0)</f>
        <v>9</v>
      </c>
      <c r="AQ59" s="153">
        <f>SUM(AL59:AO59)</f>
        <v>7</v>
      </c>
      <c r="AR59" s="152">
        <f>SUM(AN57:AN60)</f>
        <v>1</v>
      </c>
      <c r="AS59" s="110">
        <f>IF($AP59=$AP57,AL59,0)</f>
        <v>0</v>
      </c>
      <c r="AT59" s="69">
        <f>IF($AP59=$AP58,AM59,0)</f>
        <v>0</v>
      </c>
      <c r="AU59" s="202">
        <v>0</v>
      </c>
      <c r="AV59" s="200">
        <f>IF($AP59=$AP60,AO59,0)</f>
        <v>0</v>
      </c>
      <c r="AW59" s="151">
        <f>IF(AS59&gt;AU57,3,IF(AS59=AU57,1,0))+IF(AT59&gt;AU58,3,IF(AT59=AU58,1,0))+IF(AV59&gt;AU60,3,IF(AV59=AU60,1,0))</f>
        <v>3</v>
      </c>
      <c r="AX59" s="153">
        <f>SUM(AS59:AV59)</f>
        <v>0</v>
      </c>
      <c r="AY59" s="152">
        <f>SUM(AU57:AU60)</f>
        <v>0</v>
      </c>
      <c r="AZ59" s="212">
        <f ca="1">AP59*10000000000000+(500+AQ59-AR59)*10000000000+AQ59*100000000+AW59*1000000+(500+AX59-AY59)*1000+AX59*10+AI59</f>
        <v>95060703500002</v>
      </c>
      <c r="BA59" s="215">
        <f ca="1">RANK(AZ59,AZ57:AZ60)</f>
        <v>1</v>
      </c>
    </row>
    <row r="60" spans="1:53" ht="15" hidden="1" customHeight="1" x14ac:dyDescent="0.25">
      <c r="A60" s="576" t="str">
        <f t="shared" si="28"/>
        <v>H</v>
      </c>
      <c r="B60" s="17"/>
      <c r="C60" s="959"/>
      <c r="D60" s="6">
        <v>85</v>
      </c>
      <c r="E60" s="436">
        <f>E59</f>
        <v>45488.5</v>
      </c>
      <c r="F60" s="134">
        <f t="shared" si="29"/>
        <v>45488.5</v>
      </c>
      <c r="G60" s="440" t="str">
        <f ca="1">AJ69</f>
        <v>ZZZ_land_G4</v>
      </c>
      <c r="H60" s="441" t="s">
        <v>12</v>
      </c>
      <c r="I60" s="442" t="str">
        <f ca="1">AJ66</f>
        <v>ZZZ_land_G1</v>
      </c>
      <c r="J60" s="353"/>
      <c r="K60" s="54" t="s">
        <v>12</v>
      </c>
      <c r="L60" s="353"/>
      <c r="M60" s="439"/>
      <c r="N60" s="6">
        <v>95</v>
      </c>
      <c r="O60" s="436">
        <f>O59</f>
        <v>45488.5</v>
      </c>
      <c r="P60" s="134">
        <f t="shared" si="31"/>
        <v>45488.5</v>
      </c>
      <c r="Q60" s="440" t="str">
        <f ca="1">AJ78</f>
        <v>ZZZ_land_H4</v>
      </c>
      <c r="R60" s="441" t="s">
        <v>12</v>
      </c>
      <c r="S60" s="442" t="str">
        <f ca="1">AJ75</f>
        <v>ZZZ_land_H1</v>
      </c>
      <c r="T60" s="353"/>
      <c r="U60" s="54" t="s">
        <v>12</v>
      </c>
      <c r="V60" s="353"/>
      <c r="W60" s="960"/>
      <c r="X60" s="17"/>
      <c r="Y60" s="382" t="str">
        <f t="shared" si="36"/>
        <v/>
      </c>
      <c r="Z60" s="382" t="str">
        <f t="shared" si="37"/>
        <v/>
      </c>
      <c r="AA60" s="443" t="str">
        <f t="shared" si="32"/>
        <v>FOUT</v>
      </c>
      <c r="AB60" s="382" t="str">
        <f t="shared" si="38"/>
        <v/>
      </c>
      <c r="AC60" s="382" t="str">
        <f t="shared" si="39"/>
        <v/>
      </c>
      <c r="AD60" s="443" t="str">
        <f t="shared" si="33"/>
        <v>FOUT</v>
      </c>
      <c r="AE60" s="285">
        <f t="shared" si="34"/>
        <v>0</v>
      </c>
      <c r="AF60" s="41"/>
      <c r="AG60" s="41"/>
      <c r="AH60" s="171" t="str">
        <f ca="1">RIGHT(AJ55,1)&amp;4</f>
        <v>F4</v>
      </c>
      <c r="AI60" s="168">
        <f ca="1">$AX$88</f>
        <v>3</v>
      </c>
      <c r="AJ60" s="465" t="str">
        <f ca="1">VLOOKUP(AH60,Voorblad!$X$67:$Z$98,2,FALSE)</f>
        <v>Tsjechië</v>
      </c>
      <c r="AK60" s="149" t="str">
        <f ca="1">VLOOKUP(AH60,Voorblad!$X$67:$Z$98,3,FALSE)</f>
        <v>CZ</v>
      </c>
      <c r="AL60" s="208">
        <f>IF(ISNUMBER(T50),T50,0)</f>
        <v>2</v>
      </c>
      <c r="AM60" s="209">
        <f>IF(ISNUMBER(V47),V47,0)</f>
        <v>2</v>
      </c>
      <c r="AN60" s="209">
        <f>IF(ISNUMBER(V46),V46,0)</f>
        <v>0</v>
      </c>
      <c r="AO60" s="210">
        <v>0</v>
      </c>
      <c r="AP60" s="428">
        <f>IF(AD50&lt;&gt;"FOUT",IF(AL60&gt;AO57,3,IF(AL60=AO57,1,0)),0)+IF(AD47&lt;&gt;"FOUT",IF(AM60&gt;AO58,3,IF(AM60=AO58,1,0)),0)+IF(AD46&lt;&gt;"FOUT",IF(AN60&gt;AO59,3,IF(AN60=AO59,1,0)),0)</f>
        <v>3</v>
      </c>
      <c r="AQ60" s="148">
        <f>SUM(AL60:AO60)</f>
        <v>4</v>
      </c>
      <c r="AR60" s="147">
        <f>SUM(AO57:AO60)</f>
        <v>7</v>
      </c>
      <c r="AS60" s="149">
        <f>IF($AP60=$AP57,AL60,0)</f>
        <v>0</v>
      </c>
      <c r="AT60" s="146">
        <f>IF($AP60=$AP58,AM60,0)</f>
        <v>0</v>
      </c>
      <c r="AU60" s="146">
        <f>IF($AP60=$AP59,AN60,0)</f>
        <v>0</v>
      </c>
      <c r="AV60" s="201">
        <v>0</v>
      </c>
      <c r="AW60" s="145">
        <f>IF(AS60&gt;AV57,3,IF(AS60=AV57,1,0))+IF(AT60&gt;AV58,3,IF(AT60=AV58,1,0))+IF(AU60&gt;AV59,3,IF(AU60=AV59,1,0))</f>
        <v>3</v>
      </c>
      <c r="AX60" s="148">
        <f>SUM(AS60:AV60)</f>
        <v>0</v>
      </c>
      <c r="AY60" s="147">
        <f>SUM(AV57:AV60)</f>
        <v>0</v>
      </c>
      <c r="AZ60" s="213">
        <f ca="1">AP60*10000000000000+(500+AQ60-AR60)*10000000000+AQ60*100000000+AW60*1000000+(500+AX60-AY60)*1000+AX60*10+AI60</f>
        <v>34970403500003</v>
      </c>
      <c r="BA60" s="216">
        <f ca="1">RANK(AZ60,AZ57:AZ60)</f>
        <v>3</v>
      </c>
    </row>
    <row r="61" spans="1:53" ht="20.100000000000001" customHeight="1" x14ac:dyDescent="0.25">
      <c r="A61" s="576" t="str">
        <f t="shared" ref="A61:A68" si="40">IF(A53="H","","H")</f>
        <v/>
      </c>
      <c r="B61" s="17"/>
      <c r="C61" s="959"/>
      <c r="D61" s="394"/>
      <c r="E61" s="395"/>
      <c r="F61" s="396"/>
      <c r="G61" s="397"/>
      <c r="H61" s="398"/>
      <c r="I61" s="399"/>
      <c r="J61" s="381"/>
      <c r="K61" s="381"/>
      <c r="L61" s="381"/>
      <c r="M61" s="393"/>
      <c r="N61" s="394"/>
      <c r="O61" s="395"/>
      <c r="P61" s="396"/>
      <c r="Q61" s="397"/>
      <c r="R61" s="398"/>
      <c r="S61" s="399"/>
      <c r="T61" s="381"/>
      <c r="U61" s="381"/>
      <c r="V61" s="381"/>
      <c r="W61" s="960"/>
      <c r="X61" s="17"/>
      <c r="Y61" s="4"/>
      <c r="Z61" s="4"/>
      <c r="AA61" s="138"/>
      <c r="AB61" s="4"/>
      <c r="AC61" s="4"/>
      <c r="AD61" s="138"/>
      <c r="AE61" s="849"/>
      <c r="AF61" s="41"/>
      <c r="AG61" s="41"/>
      <c r="AH61" s="70"/>
      <c r="AI61" s="70"/>
      <c r="AJ61" s="444" t="s">
        <v>230</v>
      </c>
      <c r="AK61" s="70" t="str">
        <f>IF(COUNTIF(AB45:AC50,"GOED")=12,"JA","NEE")</f>
        <v>JA</v>
      </c>
      <c r="AL61" s="69"/>
      <c r="AM61" s="69"/>
      <c r="AN61" s="69"/>
      <c r="AO61" s="69"/>
      <c r="AP61" s="69"/>
      <c r="AQ61" s="69"/>
      <c r="AR61" s="69"/>
      <c r="AS61" s="182"/>
      <c r="AT61" s="182"/>
      <c r="AU61" s="182"/>
      <c r="AV61" s="182"/>
      <c r="AW61" s="182"/>
      <c r="AX61" s="182"/>
      <c r="AY61" s="182"/>
      <c r="AZ61" s="182"/>
      <c r="BA61" s="70"/>
    </row>
    <row r="62" spans="1:53" ht="15" customHeight="1" x14ac:dyDescent="0.25">
      <c r="A62" s="576" t="str">
        <f t="shared" si="40"/>
        <v/>
      </c>
      <c r="B62" s="17"/>
      <c r="C62" s="959"/>
      <c r="D62" s="394"/>
      <c r="E62" s="395"/>
      <c r="F62" s="396"/>
      <c r="G62" s="397"/>
      <c r="H62" s="398"/>
      <c r="I62" s="399"/>
      <c r="J62" s="381"/>
      <c r="K62" s="381"/>
      <c r="L62" s="381"/>
      <c r="M62" s="393"/>
      <c r="N62" s="394"/>
      <c r="O62" s="395"/>
      <c r="P62" s="396"/>
      <c r="Q62" s="397"/>
      <c r="R62" s="398"/>
      <c r="S62" s="399"/>
      <c r="T62" s="381"/>
      <c r="U62" s="381"/>
      <c r="V62" s="381"/>
      <c r="W62" s="960"/>
      <c r="X62" s="17"/>
      <c r="Y62" s="4"/>
      <c r="Z62" s="4"/>
      <c r="AA62" s="4"/>
      <c r="AB62" s="4"/>
      <c r="AC62" s="4"/>
      <c r="AD62" s="1"/>
      <c r="AE62" s="849"/>
      <c r="AF62" s="41"/>
      <c r="AG62" s="41"/>
      <c r="AH62" s="1116"/>
      <c r="AI62" s="1148"/>
      <c r="AJ62" s="489"/>
      <c r="AK62" s="1115" t="s">
        <v>175</v>
      </c>
      <c r="AL62" s="1115" t="str">
        <f ca="1">AJ66</f>
        <v>ZZZ_land_G1</v>
      </c>
      <c r="AM62" s="1115" t="str">
        <f ca="1">AJ67</f>
        <v>ZZZ_land_G2</v>
      </c>
      <c r="AN62" s="1115" t="str">
        <f ca="1">AJ68</f>
        <v>ZZZ_land_G3</v>
      </c>
      <c r="AO62" s="1115" t="str">
        <f ca="1">AJ69</f>
        <v>ZZZ_land_G4</v>
      </c>
      <c r="AP62" s="1115" t="s">
        <v>98</v>
      </c>
      <c r="AQ62" s="1115" t="s">
        <v>174</v>
      </c>
      <c r="AR62" s="1115" t="s">
        <v>173</v>
      </c>
      <c r="AS62" s="1115" t="str">
        <f ca="1">"Gelijk met "&amp;AH66</f>
        <v>Gelijk met G1</v>
      </c>
      <c r="AT62" s="1115" t="str">
        <f ca="1">"Gelijk met "&amp;AH67</f>
        <v>Gelijk met G2</v>
      </c>
      <c r="AU62" s="1115" t="str">
        <f ca="1">"Gelijk met "&amp;AH68</f>
        <v>Gelijk met G3</v>
      </c>
      <c r="AV62" s="1115" t="str">
        <f ca="1">"Gelijk met "&amp;AH69</f>
        <v>Gelijk met G4</v>
      </c>
      <c r="AW62" s="1115" t="s">
        <v>98</v>
      </c>
      <c r="AX62" s="1115" t="s">
        <v>174</v>
      </c>
      <c r="AY62" s="1115" t="s">
        <v>173</v>
      </c>
      <c r="AZ62" s="1115" t="s">
        <v>231</v>
      </c>
      <c r="BA62" s="1115" t="s">
        <v>73</v>
      </c>
    </row>
    <row r="63" spans="1:53" ht="15" customHeight="1" x14ac:dyDescent="0.25">
      <c r="A63" s="576" t="str">
        <f t="shared" si="40"/>
        <v/>
      </c>
      <c r="B63" s="17"/>
      <c r="C63" s="959"/>
      <c r="D63" s="394"/>
      <c r="E63" s="395"/>
      <c r="F63" s="396"/>
      <c r="G63" s="397"/>
      <c r="H63" s="398"/>
      <c r="I63" s="399"/>
      <c r="J63" s="381"/>
      <c r="K63" s="381"/>
      <c r="L63" s="381"/>
      <c r="M63" s="393"/>
      <c r="N63" s="394"/>
      <c r="O63" s="395"/>
      <c r="P63" s="396"/>
      <c r="Q63" s="397"/>
      <c r="R63" s="398"/>
      <c r="S63" s="399"/>
      <c r="T63" s="381"/>
      <c r="U63" s="381"/>
      <c r="V63" s="381"/>
      <c r="W63" s="960"/>
      <c r="X63" s="17"/>
      <c r="Y63" s="1146" t="s">
        <v>211</v>
      </c>
      <c r="Z63" s="1146"/>
      <c r="AA63" s="1146"/>
      <c r="AB63" s="1146"/>
      <c r="AC63" s="1146"/>
      <c r="AD63" s="1146"/>
      <c r="AE63" s="1146"/>
      <c r="AF63" s="1146"/>
      <c r="AG63" s="1146"/>
      <c r="AH63" s="1116"/>
      <c r="AI63" s="1148"/>
      <c r="AJ63" s="489"/>
      <c r="AK63" s="1115"/>
      <c r="AL63" s="1115"/>
      <c r="AM63" s="1115"/>
      <c r="AN63" s="1115"/>
      <c r="AO63" s="1115"/>
      <c r="AP63" s="1115"/>
      <c r="AQ63" s="1115"/>
      <c r="AR63" s="1115"/>
      <c r="AS63" s="1115"/>
      <c r="AT63" s="1115"/>
      <c r="AU63" s="1115"/>
      <c r="AV63" s="1115"/>
      <c r="AW63" s="1115"/>
      <c r="AX63" s="1115"/>
      <c r="AY63" s="1115"/>
      <c r="AZ63" s="1115"/>
      <c r="BA63" s="1115"/>
    </row>
    <row r="64" spans="1:53" ht="15" customHeight="1" x14ac:dyDescent="0.25">
      <c r="A64" s="576" t="str">
        <f t="shared" si="40"/>
        <v/>
      </c>
      <c r="B64" s="17"/>
      <c r="C64" s="959"/>
      <c r="D64" s="394"/>
      <c r="E64" s="395"/>
      <c r="F64" s="396"/>
      <c r="G64" s="397"/>
      <c r="H64" s="398"/>
      <c r="I64" s="399"/>
      <c r="J64" s="381"/>
      <c r="K64" s="381"/>
      <c r="L64" s="381"/>
      <c r="M64" s="393"/>
      <c r="N64" s="394"/>
      <c r="O64" s="395"/>
      <c r="P64" s="396"/>
      <c r="Q64" s="397"/>
      <c r="R64" s="398"/>
      <c r="S64" s="399"/>
      <c r="T64" s="381"/>
      <c r="U64" s="381"/>
      <c r="V64" s="381"/>
      <c r="W64" s="960"/>
      <c r="X64" s="17"/>
      <c r="Y64" s="1146"/>
      <c r="Z64" s="1146"/>
      <c r="AA64" s="1146"/>
      <c r="AB64" s="1146"/>
      <c r="AC64" s="1146"/>
      <c r="AD64" s="1146"/>
      <c r="AE64" s="1146"/>
      <c r="AF64" s="1146"/>
      <c r="AG64" s="1146"/>
      <c r="AH64" s="1116"/>
      <c r="AI64" s="1148"/>
      <c r="AJ64" s="445" t="str">
        <f ca="1">D53</f>
        <v>Groep G</v>
      </c>
      <c r="AK64" s="1115"/>
      <c r="AL64" s="1115"/>
      <c r="AM64" s="1115"/>
      <c r="AN64" s="1115"/>
      <c r="AO64" s="1115"/>
      <c r="AP64" s="1115"/>
      <c r="AQ64" s="1115"/>
      <c r="AR64" s="1115"/>
      <c r="AS64" s="1115"/>
      <c r="AT64" s="1115"/>
      <c r="AU64" s="1115"/>
      <c r="AV64" s="1115"/>
      <c r="AW64" s="1115"/>
      <c r="AX64" s="1115"/>
      <c r="AY64" s="1115"/>
      <c r="AZ64" s="1115"/>
      <c r="BA64" s="1115"/>
    </row>
    <row r="65" spans="1:53" ht="15" customHeight="1" x14ac:dyDescent="0.4">
      <c r="A65" s="576" t="str">
        <f t="shared" si="40"/>
        <v/>
      </c>
      <c r="B65" s="17"/>
      <c r="C65" s="959"/>
      <c r="D65" s="394"/>
      <c r="E65" s="395"/>
      <c r="F65" s="396"/>
      <c r="G65" s="397"/>
      <c r="H65" s="398"/>
      <c r="I65" s="399"/>
      <c r="J65" s="381"/>
      <c r="K65" s="830"/>
      <c r="L65" s="381"/>
      <c r="M65" s="393"/>
      <c r="N65" s="394"/>
      <c r="O65" s="395"/>
      <c r="P65" s="396"/>
      <c r="Q65" s="397"/>
      <c r="R65" s="398"/>
      <c r="S65" s="399"/>
      <c r="T65" s="381"/>
      <c r="U65" s="381"/>
      <c r="V65" s="381"/>
      <c r="W65" s="960"/>
      <c r="X65" s="17"/>
      <c r="Y65" s="1146"/>
      <c r="Z65" s="1146"/>
      <c r="AA65" s="1146"/>
      <c r="AB65" s="1146"/>
      <c r="AC65" s="1146"/>
      <c r="AD65" s="1146"/>
      <c r="AE65" s="1146"/>
      <c r="AF65" s="1146"/>
      <c r="AG65" s="1146"/>
      <c r="AH65" s="1116"/>
      <c r="AI65" s="1148"/>
      <c r="AJ65" s="444" t="s">
        <v>17</v>
      </c>
      <c r="AK65" s="1115"/>
      <c r="AL65" s="1115"/>
      <c r="AM65" s="1115"/>
      <c r="AN65" s="1115"/>
      <c r="AO65" s="1115"/>
      <c r="AP65" s="1115"/>
      <c r="AQ65" s="1115"/>
      <c r="AR65" s="1115"/>
      <c r="AS65" s="1115"/>
      <c r="AT65" s="1115"/>
      <c r="AU65" s="1115"/>
      <c r="AV65" s="1115"/>
      <c r="AW65" s="1115"/>
      <c r="AX65" s="1115"/>
      <c r="AY65" s="1115"/>
      <c r="AZ65" s="1115"/>
      <c r="BA65" s="1115"/>
    </row>
    <row r="66" spans="1:53" ht="15" customHeight="1" x14ac:dyDescent="0.25">
      <c r="A66" s="576" t="str">
        <f t="shared" si="40"/>
        <v/>
      </c>
      <c r="B66" s="17"/>
      <c r="C66" s="959"/>
      <c r="D66" s="394"/>
      <c r="E66" s="395"/>
      <c r="F66" s="396"/>
      <c r="G66" s="397"/>
      <c r="H66" s="398"/>
      <c r="I66" s="399"/>
      <c r="J66" s="381"/>
      <c r="K66" s="381"/>
      <c r="L66" s="381"/>
      <c r="M66" s="393"/>
      <c r="N66" s="394"/>
      <c r="O66" s="395"/>
      <c r="P66" s="396"/>
      <c r="Q66" s="397"/>
      <c r="R66" s="398"/>
      <c r="S66" s="399"/>
      <c r="T66" s="381"/>
      <c r="U66" s="381"/>
      <c r="V66" s="381"/>
      <c r="W66" s="960"/>
      <c r="X66" s="17"/>
      <c r="Y66" s="189"/>
      <c r="Z66" s="190" t="str">
        <f ca="1">D23</f>
        <v>Groep A</v>
      </c>
      <c r="AA66" s="190" t="str">
        <f ca="1">N23</f>
        <v>Groep B</v>
      </c>
      <c r="AB66" s="190" t="str">
        <f ca="1">D33</f>
        <v>Groep C</v>
      </c>
      <c r="AC66" s="190" t="str">
        <f ca="1">N33</f>
        <v>Groep D</v>
      </c>
      <c r="AD66" s="190" t="str">
        <f ca="1">D43</f>
        <v>Groep E</v>
      </c>
      <c r="AE66" s="190" t="str">
        <f ca="1">N43</f>
        <v>Groep F</v>
      </c>
      <c r="AF66" s="477" t="str">
        <f ca="1">D53</f>
        <v>Groep G</v>
      </c>
      <c r="AG66" s="477" t="str">
        <f ca="1">N53</f>
        <v>Groep H</v>
      </c>
      <c r="AH66" s="171" t="str">
        <f ca="1">RIGHT(AJ64,1)&amp;1</f>
        <v>G1</v>
      </c>
      <c r="AI66" s="168">
        <f ca="1">$AU$89</f>
        <v>1</v>
      </c>
      <c r="AJ66" s="446" t="str">
        <f ca="1">VLOOKUP(AH66,Voorblad!$X$67:$Z$98,2,FALSE)</f>
        <v>ZZZ_land_G1</v>
      </c>
      <c r="AK66" s="447" t="str">
        <f ca="1">VLOOKUP(AH66,Voorblad!$X$67:$Z$98,3,FALSE)</f>
        <v>ZA</v>
      </c>
      <c r="AL66" s="203">
        <v>0</v>
      </c>
      <c r="AM66" s="448">
        <f>IF(ISNUMBER(J56),J56,0)</f>
        <v>0</v>
      </c>
      <c r="AN66" s="448">
        <f>IF(ISNUMBER(J58),J58,0)</f>
        <v>0</v>
      </c>
      <c r="AO66" s="448">
        <f>IF(ISNUMBER(L60),L60,0)</f>
        <v>0</v>
      </c>
      <c r="AP66" s="449">
        <f>IF(AA55&lt;&gt;"FOUT",IF(AM66&gt;AL67,3,IF(AM66=AL67,1,0)),0)+IF(AA57&lt;&gt;"FOUT",IF(AN66&gt;AL68,3,IF(AN66=AL68,1,0)),0)+IF(AA59&lt;&gt;"FOUT",IF(AO66&gt;AL69,3,IF(AO66=AL69,1,0)),0)</f>
        <v>0</v>
      </c>
      <c r="AQ66" s="450">
        <f>SUM(AL66:AO66)</f>
        <v>0</v>
      </c>
      <c r="AR66" s="451">
        <f>SUM(AL66:AL69)</f>
        <v>0</v>
      </c>
      <c r="AS66" s="203">
        <v>0</v>
      </c>
      <c r="AT66" s="452">
        <f>IF($AP66=$AP67,AM66,0)</f>
        <v>0</v>
      </c>
      <c r="AU66" s="452">
        <f>IF($AP66=$AP68,AN66,0)</f>
        <v>0</v>
      </c>
      <c r="AV66" s="453">
        <f>IF($AP66=$AP69,AO66,0)</f>
        <v>0</v>
      </c>
      <c r="AW66" s="449">
        <f>IF(AT66&gt;AS67,3,IF(AT66=AS67,1,0))+IF(AU66&gt;AS68,3,IF(AU66=AS68,1,0))+IF(AV66&gt;AS69,3,IF(AV66=AS69,1,0))</f>
        <v>3</v>
      </c>
      <c r="AX66" s="450">
        <f>SUM(AS66:AV66)</f>
        <v>0</v>
      </c>
      <c r="AY66" s="451">
        <f>SUM(AS66:AS69)</f>
        <v>0</v>
      </c>
      <c r="AZ66" s="211">
        <f ca="1">AP66*10000000000000+(500+AQ66-AR66)*10000000000+AQ66*100000000+AW66*1000000+(500+AX66-AY66)*1000+AX66*10+AI66</f>
        <v>5000003500001</v>
      </c>
      <c r="BA66" s="454">
        <f ca="1">RANK(AZ66,AZ66:AZ69)</f>
        <v>4</v>
      </c>
    </row>
    <row r="67" spans="1:53" ht="15" customHeight="1" x14ac:dyDescent="0.25">
      <c r="A67" s="576" t="str">
        <f t="shared" si="40"/>
        <v/>
      </c>
      <c r="B67" s="17"/>
      <c r="C67" s="959"/>
      <c r="D67" s="394"/>
      <c r="E67" s="395"/>
      <c r="F67" s="396"/>
      <c r="G67" s="397"/>
      <c r="H67" s="398"/>
      <c r="I67" s="399"/>
      <c r="J67" s="381"/>
      <c r="K67" s="381"/>
      <c r="L67" s="381"/>
      <c r="M67" s="393"/>
      <c r="N67" s="394"/>
      <c r="O67" s="395"/>
      <c r="P67" s="396"/>
      <c r="Q67" s="397"/>
      <c r="R67" s="398"/>
      <c r="S67" s="399"/>
      <c r="T67" s="381"/>
      <c r="U67" s="381"/>
      <c r="V67" s="381"/>
      <c r="W67" s="960"/>
      <c r="X67" s="17"/>
      <c r="Y67" s="191" t="s">
        <v>180</v>
      </c>
      <c r="Z67" s="189">
        <f>IF(AK16="JA",6,0)</f>
        <v>6</v>
      </c>
      <c r="AA67" s="189">
        <f>IF(AK25="JA",6,0)</f>
        <v>6</v>
      </c>
      <c r="AB67" s="189">
        <f>IF(AK34="JA",6,0)</f>
        <v>6</v>
      </c>
      <c r="AC67" s="189">
        <f>IF(AK43="JA",6,0)</f>
        <v>6</v>
      </c>
      <c r="AD67" s="189">
        <f>IF(AK52="JA",6,0)</f>
        <v>6</v>
      </c>
      <c r="AE67" s="189">
        <f>IF(AK61="JA",6,0)</f>
        <v>6</v>
      </c>
      <c r="AF67" s="478">
        <f>IF(AK70="JA",6,0)</f>
        <v>0</v>
      </c>
      <c r="AG67" s="478">
        <f ca="1">IF(AK79="JA",6,0)</f>
        <v>0</v>
      </c>
      <c r="AH67" s="171" t="str">
        <f ca="1">RIGHT(AJ64,1)&amp;2</f>
        <v>G2</v>
      </c>
      <c r="AI67" s="168">
        <f ca="1">$AV$89</f>
        <v>2</v>
      </c>
      <c r="AJ67" s="455" t="str">
        <f ca="1">VLOOKUP(AH67,Voorblad!$X$67:$Z$98,2,FALSE)</f>
        <v>ZZZ_land_G2</v>
      </c>
      <c r="AK67" s="456" t="str">
        <f ca="1">VLOOKUP(AH67,Voorblad!$X$67:$Z$98,3,FALSE)</f>
        <v>ZB</v>
      </c>
      <c r="AL67" s="457">
        <f>IF(ISNUMBER(L56),L56,0)</f>
        <v>0</v>
      </c>
      <c r="AM67" s="202">
        <v>0</v>
      </c>
      <c r="AN67" s="459">
        <f>IF(ISNUMBER(J59),J59,0)</f>
        <v>0</v>
      </c>
      <c r="AO67" s="459">
        <f>IF(ISNUMBER(L57),L57,0)</f>
        <v>0</v>
      </c>
      <c r="AP67" s="460">
        <f>IF(AA55&lt;&gt;"FOUT",IF(AL67&gt;AM66,3,IF(AL67=AM66,1,0)),0)+IF(AA60&lt;&gt;"FOUT",IF(AN67&gt;AM68,3,IF(AN67=AM68,1,0)),0)+IF(AA58&lt;&gt;"FOUT",IF(AO67&gt;AM69,3,IF(AO67=AM69,1,0)),0)</f>
        <v>0</v>
      </c>
      <c r="AQ67" s="461">
        <f>SUM(AL67:AO67)</f>
        <v>0</v>
      </c>
      <c r="AR67" s="462">
        <f>SUM(AM66:AM69)</f>
        <v>0</v>
      </c>
      <c r="AS67" s="456">
        <f>IF($AP67=$AP66,AL67,0)</f>
        <v>0</v>
      </c>
      <c r="AT67" s="202">
        <v>0</v>
      </c>
      <c r="AU67" s="458">
        <f>IF($AP67=$AP68,AN67,0)</f>
        <v>0</v>
      </c>
      <c r="AV67" s="463">
        <f>IF($AP67=$AP69,AO67,0)</f>
        <v>0</v>
      </c>
      <c r="AW67" s="460">
        <f>IF(AS67&gt;AT66,3,IF(AS67=AT66,1,0))+IF(AU67&gt;AT68,3,IF(AU67=AT68,1,0))+IF(AV67&gt;AT69,3,IF(AV67=AT69,1,0))</f>
        <v>3</v>
      </c>
      <c r="AX67" s="461">
        <f>SUM(AS67:AV67)</f>
        <v>0</v>
      </c>
      <c r="AY67" s="462">
        <f>SUM(AT66:AT69)</f>
        <v>0</v>
      </c>
      <c r="AZ67" s="212">
        <f ca="1">AP67*10000000000000+(500+AQ67-AR67)*10000000000+AQ67*100000000+AW67*1000000+(500+AX67-AY67)*1000+AX67*10+AI67</f>
        <v>5000003500002</v>
      </c>
      <c r="BA67" s="464">
        <f ca="1">RANK(AZ67,AZ66:AZ69)</f>
        <v>3</v>
      </c>
    </row>
    <row r="68" spans="1:53" ht="15" customHeight="1" x14ac:dyDescent="0.25">
      <c r="A68" s="576" t="str">
        <f t="shared" si="40"/>
        <v/>
      </c>
      <c r="B68" s="17"/>
      <c r="C68" s="959"/>
      <c r="D68" s="394"/>
      <c r="E68" s="395"/>
      <c r="F68" s="396"/>
      <c r="G68" s="397"/>
      <c r="H68" s="398"/>
      <c r="I68" s="399"/>
      <c r="J68" s="381"/>
      <c r="K68" s="381"/>
      <c r="L68" s="381"/>
      <c r="M68" s="393"/>
      <c r="N68" s="394"/>
      <c r="O68" s="395"/>
      <c r="P68" s="396"/>
      <c r="Q68" s="397"/>
      <c r="R68" s="398"/>
      <c r="S68" s="399"/>
      <c r="T68" s="381"/>
      <c r="U68" s="381"/>
      <c r="V68" s="381"/>
      <c r="W68" s="960"/>
      <c r="X68" s="17"/>
      <c r="Y68" s="191" t="s">
        <v>202</v>
      </c>
      <c r="Z68" s="189">
        <f>LARGE($AP$12:$AP$15,1)</f>
        <v>9</v>
      </c>
      <c r="AA68" s="189">
        <f>LARGE($AP$21:$AP$24,1)</f>
        <v>7</v>
      </c>
      <c r="AB68" s="189">
        <f>LARGE($AP$30:$AP$33,1)</f>
        <v>9</v>
      </c>
      <c r="AC68" s="189">
        <f>LARGE($AP$39:$AP$42,1)</f>
        <v>9</v>
      </c>
      <c r="AD68" s="189">
        <f>LARGE($AP$48:$AP$51,1)</f>
        <v>9</v>
      </c>
      <c r="AE68" s="189">
        <f>LARGE($AP$57:$AP$60,1)</f>
        <v>9</v>
      </c>
      <c r="AF68" s="478">
        <f>LARGE($AP$66:$AP$69,1)</f>
        <v>0</v>
      </c>
      <c r="AG68" s="478">
        <f>LARGE($AP$75:$AP$78,1)</f>
        <v>0</v>
      </c>
      <c r="AH68" s="171" t="str">
        <f ca="1">RIGHT(AJ64,1)&amp;3</f>
        <v>G3</v>
      </c>
      <c r="AI68" s="168">
        <f ca="1">$AW$89</f>
        <v>3</v>
      </c>
      <c r="AJ68" s="455" t="str">
        <f ca="1">VLOOKUP(AH68,Voorblad!$X$67:$Z$98,2,FALSE)</f>
        <v>ZZZ_land_G3</v>
      </c>
      <c r="AK68" s="456" t="str">
        <f ca="1">VLOOKUP(AH68,Voorblad!$X$67:$Z$98,3,FALSE)</f>
        <v>ZC</v>
      </c>
      <c r="AL68" s="457">
        <f>IF(ISNUMBER(L58),L58,0)</f>
        <v>0</v>
      </c>
      <c r="AM68" s="459">
        <f>IF(ISNUMBER(L59),L59,0)</f>
        <v>0</v>
      </c>
      <c r="AN68" s="202">
        <v>0</v>
      </c>
      <c r="AO68" s="459">
        <f>IF(ISNUMBER(J55),J55,0)</f>
        <v>0</v>
      </c>
      <c r="AP68" s="460">
        <f>IF(AA57&lt;&gt;"FOUT",IF(AL68&gt;AN66,3,IF(AL68=AN66,1,0)),0)+IF(AA60&lt;&gt;"FOUT",IF(AM68&gt;AN67,3,IF(AM68=AN67,1,0)),0)+IF(AA56&lt;&gt;"FOUT",IF(AO68&gt;AN69,3,IF(AO68=AN69,1,0)),0)</f>
        <v>0</v>
      </c>
      <c r="AQ68" s="461">
        <f>SUM(AL68:AO68)</f>
        <v>0</v>
      </c>
      <c r="AR68" s="462">
        <f>SUM(AN66:AN69)</f>
        <v>0</v>
      </c>
      <c r="AS68" s="456">
        <f>IF($AP68=$AP66,AL68,0)</f>
        <v>0</v>
      </c>
      <c r="AT68" s="458">
        <f>IF($AP68=$AP67,AM68,0)</f>
        <v>0</v>
      </c>
      <c r="AU68" s="202">
        <v>0</v>
      </c>
      <c r="AV68" s="463">
        <f>IF($AP68=$AP69,AO68,0)</f>
        <v>0</v>
      </c>
      <c r="AW68" s="460">
        <f>IF(AS68&gt;AU66,3,IF(AS68=AU66,1,0))+IF(AT68&gt;AU67,3,IF(AT68=AU67,1,0))+IF(AV68&gt;AU69,3,IF(AV68=AU69,1,0))</f>
        <v>3</v>
      </c>
      <c r="AX68" s="461">
        <f>SUM(AS68:AV68)</f>
        <v>0</v>
      </c>
      <c r="AY68" s="462">
        <f>SUM(AU66:AU69)</f>
        <v>0</v>
      </c>
      <c r="AZ68" s="212">
        <f ca="1">AP68*10000000000000+(500+AQ68-AR68)*10000000000+AQ68*100000000+AW68*1000000+(500+AX68-AY68)*1000+AX68*10+AI68</f>
        <v>5000003500003</v>
      </c>
      <c r="BA68" s="464">
        <f ca="1">RANK(AZ68,AZ66:AZ69)</f>
        <v>2</v>
      </c>
    </row>
    <row r="69" spans="1:53" ht="15" customHeight="1" x14ac:dyDescent="0.25">
      <c r="B69" s="17"/>
      <c r="C69" s="959"/>
      <c r="D69" s="394"/>
      <c r="E69" s="395"/>
      <c r="F69" s="396"/>
      <c r="G69" s="397"/>
      <c r="H69" s="398"/>
      <c r="I69" s="399"/>
      <c r="J69" s="381"/>
      <c r="K69" s="381"/>
      <c r="L69" s="381"/>
      <c r="M69" s="393"/>
      <c r="N69" s="394"/>
      <c r="O69" s="395"/>
      <c r="P69" s="396"/>
      <c r="Q69" s="397"/>
      <c r="R69" s="398"/>
      <c r="S69" s="399"/>
      <c r="T69" s="381"/>
      <c r="U69" s="381"/>
      <c r="V69" s="381"/>
      <c r="W69" s="960"/>
      <c r="X69" s="17"/>
      <c r="Y69" s="191" t="s">
        <v>203</v>
      </c>
      <c r="Z69" s="189">
        <f>LARGE($AP$12:$AP$15,2)</f>
        <v>4</v>
      </c>
      <c r="AA69" s="189">
        <f>LARGE($AP$21:$AP$24,2)</f>
        <v>7</v>
      </c>
      <c r="AB69" s="189">
        <f>LARGE($AP$30:$AP$33,2)</f>
        <v>4</v>
      </c>
      <c r="AC69" s="189">
        <f>LARGE($AP$39:$AP$42,2)</f>
        <v>6</v>
      </c>
      <c r="AD69" s="189">
        <f>LARGE($AP$48:$AP$51,2)</f>
        <v>4</v>
      </c>
      <c r="AE69" s="189">
        <f>LARGE($AP$57:$AP$60,2)</f>
        <v>6</v>
      </c>
      <c r="AF69" s="478">
        <f>LARGE($AP$66:$AP$69,2)</f>
        <v>0</v>
      </c>
      <c r="AG69" s="478">
        <f>LARGE($AP$75:$AP$78,2)</f>
        <v>0</v>
      </c>
      <c r="AH69" s="171" t="str">
        <f ca="1">RIGHT(AJ64,1)&amp;4</f>
        <v>G4</v>
      </c>
      <c r="AI69" s="168">
        <f ca="1">$AX$89</f>
        <v>4</v>
      </c>
      <c r="AJ69" s="465" t="str">
        <f ca="1">VLOOKUP(AH69,Voorblad!$X$67:$Z$98,2,FALSE)</f>
        <v>ZZZ_land_G4</v>
      </c>
      <c r="AK69" s="466" t="str">
        <f ca="1">VLOOKUP(AH69,Voorblad!$X$67:$Z$98,3,FALSE)</f>
        <v>ZD</v>
      </c>
      <c r="AL69" s="467">
        <f>IF(ISNUMBER(J60),J60,0)</f>
        <v>0</v>
      </c>
      <c r="AM69" s="468">
        <f>IF(ISNUMBER(J57),J57,0)</f>
        <v>0</v>
      </c>
      <c r="AN69" s="468">
        <f>IF(ISNUMBER(L55),L55,0)</f>
        <v>0</v>
      </c>
      <c r="AO69" s="210">
        <v>0</v>
      </c>
      <c r="AP69" s="428">
        <f>IF(AA59&lt;&gt;"FOUT",IF(AM69&gt;AO67,3,IF(AM69=AO67,1,0)),0)+IF(AA58&lt;&gt;"FOUT",IF(AN69&gt;AO68,3,IF(AN69=AO68,1,0)),0)+IF(AA56&lt;&gt;"FOUT",IF(AL69&gt;AO66,3,IF(AL69=AO66,1,0)),0)</f>
        <v>0</v>
      </c>
      <c r="AQ69" s="470">
        <f>SUM(AL69:AO69)</f>
        <v>0</v>
      </c>
      <c r="AR69" s="471">
        <f>SUM(AO66:AO69)</f>
        <v>0</v>
      </c>
      <c r="AS69" s="466">
        <f>IF($AP69=$AP66,AL69,0)</f>
        <v>0</v>
      </c>
      <c r="AT69" s="469">
        <f>IF($AP69=$AP67,AM69,0)</f>
        <v>0</v>
      </c>
      <c r="AU69" s="469">
        <f>IF($AP69=$AP68,AN69,0)</f>
        <v>0</v>
      </c>
      <c r="AV69" s="201">
        <v>0</v>
      </c>
      <c r="AW69" s="428">
        <f>IF(AS69&gt;AV66,3,IF(AS69=AV66,1,0))+IF(AT69&gt;AV67,3,IF(AT69=AV67,1,0))+IF(AU69&gt;AV68,3,IF(AU69=AV68,1,0))</f>
        <v>3</v>
      </c>
      <c r="AX69" s="470">
        <f>SUM(AS69:AV69)</f>
        <v>0</v>
      </c>
      <c r="AY69" s="471">
        <f>SUM(AV66:AV69)</f>
        <v>0</v>
      </c>
      <c r="AZ69" s="213">
        <f ca="1">AP69*10000000000000+(500+AQ69-AR69)*10000000000+AQ69*100000000+AW69*1000000+(500+AX69-AY69)*1000+AX69*10+AI69</f>
        <v>5000003500004</v>
      </c>
      <c r="BA69" s="472">
        <f ca="1">RANK(AZ69,AZ66:AZ69)</f>
        <v>1</v>
      </c>
    </row>
    <row r="70" spans="1:53" ht="9.9499999999999993" customHeight="1" x14ac:dyDescent="0.25">
      <c r="B70" s="17"/>
      <c r="C70" s="961"/>
      <c r="D70" s="427"/>
      <c r="E70" s="427"/>
      <c r="F70" s="427"/>
      <c r="G70" s="427"/>
      <c r="H70" s="427"/>
      <c r="I70" s="427"/>
      <c r="J70" s="427"/>
      <c r="K70" s="427"/>
      <c r="L70" s="427"/>
      <c r="M70" s="427"/>
      <c r="N70" s="427"/>
      <c r="O70" s="427"/>
      <c r="P70" s="427"/>
      <c r="Q70" s="427"/>
      <c r="R70" s="427"/>
      <c r="S70" s="427"/>
      <c r="T70" s="427"/>
      <c r="U70" s="427"/>
      <c r="V70" s="427"/>
      <c r="W70" s="962"/>
      <c r="X70" s="17"/>
      <c r="Y70" s="191" t="s">
        <v>204</v>
      </c>
      <c r="Z70" s="189">
        <f>LARGE($AP$12:$AP$15,3)</f>
        <v>4</v>
      </c>
      <c r="AA70" s="189">
        <f>LARGE($AP$21:$AP$24,3)</f>
        <v>3</v>
      </c>
      <c r="AB70" s="189">
        <f>LARGE($AP$30:$AP$33,3)</f>
        <v>4</v>
      </c>
      <c r="AC70" s="189">
        <f>LARGE($AP$39:$AP$42,3)</f>
        <v>3</v>
      </c>
      <c r="AD70" s="189">
        <f>LARGE($AP$48:$AP$51,3)</f>
        <v>4</v>
      </c>
      <c r="AE70" s="189">
        <f>LARGE($AP$57:$AP$60,3)</f>
        <v>3</v>
      </c>
      <c r="AF70" s="478">
        <f>LARGE($AP$66:$AP$69,3)</f>
        <v>0</v>
      </c>
      <c r="AG70" s="478">
        <f>LARGE($AP$75:$AP$78,3)</f>
        <v>0</v>
      </c>
      <c r="AH70" s="70"/>
      <c r="AI70" s="444"/>
      <c r="AJ70" s="444" t="s">
        <v>230</v>
      </c>
      <c r="AK70" s="444" t="str">
        <f>IF(COUNTIF(Y55:Z60,"GOED")=12,"JA","NEE")</f>
        <v>NEE</v>
      </c>
      <c r="AL70" s="458"/>
      <c r="AM70" s="458"/>
      <c r="AN70" s="458"/>
      <c r="AO70" s="458"/>
      <c r="AP70" s="69"/>
      <c r="AQ70" s="69"/>
      <c r="AR70" s="69"/>
      <c r="AS70" s="473"/>
      <c r="AT70" s="473"/>
      <c r="AU70" s="473"/>
      <c r="AV70" s="473"/>
      <c r="AW70" s="473"/>
      <c r="AX70" s="473"/>
      <c r="AY70" s="473"/>
      <c r="AZ70" s="473"/>
      <c r="BA70" s="444"/>
    </row>
    <row r="71" spans="1:53" ht="15" customHeight="1" x14ac:dyDescent="0.25">
      <c r="B71" s="17"/>
      <c r="C71" s="17"/>
      <c r="D71" s="17"/>
      <c r="E71" s="17"/>
      <c r="F71" s="17"/>
      <c r="G71" s="17"/>
      <c r="H71" s="17"/>
      <c r="I71" s="17"/>
      <c r="J71" s="17"/>
      <c r="K71" s="17"/>
      <c r="L71" s="17"/>
      <c r="M71" s="17"/>
      <c r="N71" s="17"/>
      <c r="O71" s="17"/>
      <c r="P71" s="17"/>
      <c r="Q71" s="17"/>
      <c r="R71" s="17"/>
      <c r="S71" s="17"/>
      <c r="T71" s="17"/>
      <c r="U71" s="17"/>
      <c r="V71" s="17"/>
      <c r="W71" s="17"/>
      <c r="X71" s="17"/>
      <c r="Y71" s="191" t="s">
        <v>205</v>
      </c>
      <c r="Z71" s="189">
        <f>LARGE($AP$12:$AP$15,4)</f>
        <v>0</v>
      </c>
      <c r="AA71" s="189">
        <f>LARGE($AP$21:$AP$24,4)</f>
        <v>0</v>
      </c>
      <c r="AB71" s="189">
        <f>LARGE($AP$30:$AP$33,4)</f>
        <v>0</v>
      </c>
      <c r="AC71" s="189">
        <f>LARGE($AP$39:$AP$42,4)</f>
        <v>0</v>
      </c>
      <c r="AD71" s="189">
        <f>LARGE($AP$48:$AP$51,4)</f>
        <v>0</v>
      </c>
      <c r="AE71" s="189">
        <f>LARGE($AP$57:$AP$60,4)</f>
        <v>0</v>
      </c>
      <c r="AF71" s="478">
        <f>LARGE($AP$66:$AP$69,4)</f>
        <v>0</v>
      </c>
      <c r="AG71" s="478">
        <f>LARGE($AP$75:$AP$78,4)</f>
        <v>0</v>
      </c>
      <c r="AH71" s="1116"/>
      <c r="AI71" s="1115"/>
      <c r="AJ71" s="489"/>
      <c r="AK71" s="1115" t="s">
        <v>175</v>
      </c>
      <c r="AL71" s="1115" t="str">
        <f ca="1">AJ75</f>
        <v>ZZZ_land_H1</v>
      </c>
      <c r="AM71" s="1115" t="str">
        <f ca="1">AJ76</f>
        <v>ZZZ_land_H2</v>
      </c>
      <c r="AN71" s="1115" t="str">
        <f ca="1">AJ77</f>
        <v>ZZZ_land_H3</v>
      </c>
      <c r="AO71" s="1115" t="str">
        <f ca="1">AJ78</f>
        <v>ZZZ_land_H4</v>
      </c>
      <c r="AP71" s="1115" t="s">
        <v>98</v>
      </c>
      <c r="AQ71" s="1115" t="s">
        <v>174</v>
      </c>
      <c r="AR71" s="1115" t="s">
        <v>173</v>
      </c>
      <c r="AS71" s="1115" t="str">
        <f ca="1">"Gelijk met "&amp;AH75</f>
        <v>Gelijk met H1</v>
      </c>
      <c r="AT71" s="1115" t="str">
        <f ca="1">"Gelijk met "&amp;AH76</f>
        <v>Gelijk met H2</v>
      </c>
      <c r="AU71" s="1115" t="str">
        <f ca="1">"Gelijk met "&amp;AH77</f>
        <v>Gelijk met H3</v>
      </c>
      <c r="AV71" s="1115" t="str">
        <f ca="1">"Gelijk met "&amp;AH78</f>
        <v>Gelijk met H4</v>
      </c>
      <c r="AW71" s="1115" t="s">
        <v>98</v>
      </c>
      <c r="AX71" s="1115" t="s">
        <v>174</v>
      </c>
      <c r="AY71" s="1115" t="s">
        <v>173</v>
      </c>
      <c r="AZ71" s="1115" t="s">
        <v>231</v>
      </c>
      <c r="BA71" s="1115" t="s">
        <v>73</v>
      </c>
    </row>
    <row r="72" spans="1:53" ht="15" customHeight="1" x14ac:dyDescent="0.25">
      <c r="B72" s="17"/>
      <c r="C72" s="985"/>
      <c r="D72" s="975" t="str">
        <f>IF(Reglement!D71="","",Reglement!D71)</f>
        <v>www.excel-pool.nl</v>
      </c>
      <c r="E72" s="986"/>
      <c r="F72" s="986"/>
      <c r="G72" s="986"/>
      <c r="H72" s="986"/>
      <c r="I72" s="986"/>
      <c r="J72" s="986"/>
      <c r="K72" s="986"/>
      <c r="L72" s="986"/>
      <c r="M72" s="986"/>
      <c r="N72" s="986"/>
      <c r="O72" s="986"/>
      <c r="P72" s="986"/>
      <c r="Q72" s="986"/>
      <c r="R72" s="986"/>
      <c r="S72" s="986"/>
      <c r="T72" s="986"/>
      <c r="U72" s="986"/>
      <c r="V72" s="977" t="str">
        <f>IF(Reglement!M71="","",Reglement!M71)</f>
        <v>©2024 Eric de Jong v24.00dh</v>
      </c>
      <c r="W72" s="987"/>
      <c r="X72" s="17"/>
      <c r="Y72" s="191" t="s">
        <v>934</v>
      </c>
      <c r="Z72" s="189" t="str">
        <f ca="1">IF(Z$67=6,IF(Z68=$AP$12,$AH$12,"")&amp;IF(Z68=$AP$13,$AH$13,"")&amp;IF(Z68=$AP$14,$AH$14,"")&amp;IF(Z68=$AP$15,$AH$15,""),"")</f>
        <v>A1</v>
      </c>
      <c r="AA72" s="189" t="str">
        <f ca="1">IF(AA$67=6,IF(AA68=$AP$21,$AH$21,"")&amp;IF(AA68=$AP$22,$AH$22,"")&amp;IF(AA68=$AP$23,$AH$23,"")&amp;IF(AA68=$AP$24,$AH$24,""),"")</f>
        <v>B1B2</v>
      </c>
      <c r="AB72" s="189" t="str">
        <f ca="1">IF(AB$67=6,IF(AB68=$AP$30,$AH$30,"")&amp;IF(AB68=$AP$31,$AH$31,"")&amp;IF(AB68=$AP$32,$AH$32,"")&amp;IF(AB68=$AP$33,$AH$33,""),"")</f>
        <v>C4</v>
      </c>
      <c r="AC72" s="189" t="str">
        <f ca="1">IF(AC$67=6,IF(AC68=$AP$39,$AH$39,"")&amp;IF(AC68=$AP$40,$AH$40,"")&amp;IF(AC68=$AP$41,$AH$41,"")&amp;IF(AC68=$AP$42,$AH$42,""),"")</f>
        <v>D4</v>
      </c>
      <c r="AD72" s="189" t="str">
        <f ca="1">IF(AD$67,IF(AD68=$AP$48,$AH$48,"")&amp;IF(AD68=$AP$49,$AH$49,"")&amp;IF(AD68=$AP$50,$AH$50,"")&amp;IF(AD68=$AP$51,$AH$51,""),"")</f>
        <v>E1</v>
      </c>
      <c r="AE72" s="189" t="str">
        <f ca="1">IF(AE$67=6,IF(AE68=$AP$57,$AH$57,"")&amp;IF(AE68=$AP$58,$AH$58,"")&amp;IF(AE68=$AP$59,$AH$59,"")&amp;IF(AE68=$AP$60,$AH$60,""),"")</f>
        <v>F3</v>
      </c>
      <c r="AF72" s="189" t="str">
        <f>IF(AF$67=6,IF(AF68=$AP$66,$AH$66,"")&amp;IF(AF68=$AP$67,$AH$67,"")&amp;IF(AF68=$AP$68,$AH$68,"")&amp;IF(AF68=$AP$69,$AH$69,""),"")</f>
        <v/>
      </c>
      <c r="AG72" s="189" t="str">
        <f ca="1">IF(AG$67=6,IF(AG68=$AP$75,$AH$75,"")&amp;IF(AG68=$AP$76,$AH$76,"")&amp;IF(AG68=$AP$77,$AH$77,"")&amp;IF(AG68=$AP$78,$AH$78,""),"")</f>
        <v/>
      </c>
      <c r="AH72" s="1116"/>
      <c r="AI72" s="1115"/>
      <c r="AJ72" s="489"/>
      <c r="AK72" s="1115"/>
      <c r="AL72" s="1115"/>
      <c r="AM72" s="1115"/>
      <c r="AN72" s="1115"/>
      <c r="AO72" s="1115"/>
      <c r="AP72" s="1115"/>
      <c r="AQ72" s="1115"/>
      <c r="AR72" s="1115"/>
      <c r="AS72" s="1115"/>
      <c r="AT72" s="1115"/>
      <c r="AU72" s="1115"/>
      <c r="AV72" s="1115"/>
      <c r="AW72" s="1115"/>
      <c r="AX72" s="1115"/>
      <c r="AY72" s="1115"/>
      <c r="AZ72" s="1115"/>
      <c r="BA72" s="1115"/>
    </row>
    <row r="73" spans="1:53" ht="15" customHeight="1" x14ac:dyDescent="0.25">
      <c r="B73" s="17"/>
      <c r="C73" s="17"/>
      <c r="D73" s="17"/>
      <c r="E73" s="17"/>
      <c r="F73" s="17"/>
      <c r="G73" s="17"/>
      <c r="H73" s="17"/>
      <c r="I73" s="17"/>
      <c r="J73" s="17"/>
      <c r="K73" s="17"/>
      <c r="L73" s="17"/>
      <c r="M73" s="17"/>
      <c r="N73" s="17"/>
      <c r="O73" s="17"/>
      <c r="P73" s="17"/>
      <c r="Q73" s="17"/>
      <c r="R73" s="17"/>
      <c r="S73" s="17"/>
      <c r="T73" s="17"/>
      <c r="U73" s="17"/>
      <c r="V73" s="17"/>
      <c r="W73" s="17"/>
      <c r="X73" s="17"/>
      <c r="Y73" s="191" t="s">
        <v>935</v>
      </c>
      <c r="Z73" s="189" t="str">
        <f ca="1">IF(Z$67=6,IF(Z69=$AP$12,$AH$12,"")&amp;IF(Z69=$AP$13,$AH$13,"")&amp;IF(Z69=$AP$14,$AH$14,"")&amp;IF(Z69=$AP$15,$AH$15,""),"")</f>
        <v>A3A4</v>
      </c>
      <c r="AA73" s="189" t="str">
        <f ca="1">IF(AA$67=6,IF(AA69=$AP$21,$AH$21,"")&amp;IF(AA69=$AP$22,$AH$22,"")&amp;IF(AA69=$AP$23,$AH$23,"")&amp;IF(AA69=$AP$24,$AH$24,""),"")</f>
        <v>B1B2</v>
      </c>
      <c r="AB73" s="189" t="str">
        <f ca="1">IF(AB$67=6,IF(AB69=$AP$30,$AH$30,"")&amp;IF(AB69=$AP$31,$AH$31,"")&amp;IF(AB69=$AP$32,$AH$32,"")&amp;IF(AB69=$AP$33,$AH$33,""),"")</f>
        <v>C2C3</v>
      </c>
      <c r="AC73" s="189" t="str">
        <f ca="1">IF(AC$67=6,IF(AC69=$AP$39,$AH$39,"")&amp;IF(AC69=$AP$40,$AH$40,"")&amp;IF(AC69=$AP$41,$AH$41,"")&amp;IF(AC69=$AP$42,$AH$42,""),"")</f>
        <v>D2</v>
      </c>
      <c r="AD73" s="189" t="str">
        <f ca="1">IF(AD$67,IF(AD69=$AP$48,$AH$48,"")&amp;IF(AD69=$AP$49,$AH$49,"")&amp;IF(AD69=$AP$50,$AH$50,"")&amp;IF(AD69=$AP$51,$AH$51,""),"")</f>
        <v>E2E4</v>
      </c>
      <c r="AE73" s="189" t="str">
        <f ca="1">IF(AE$67=6,IF(AE69=$AP$57,$AH$57,"")&amp;IF(AE69=$AP$58,$AH$58,"")&amp;IF(AE69=$AP$59,$AH$59,"")&amp;IF(AE69=$AP$60,$AH$60,""),"")</f>
        <v>F1</v>
      </c>
      <c r="AF73" s="189" t="str">
        <f>IF(AF$67=6,IF(AF69=$AP$66,$AH$66,"")&amp;IF(AF69=$AP$67,$AH$67,"")&amp;IF(AF69=$AP$68,$AH$68,"")&amp;IF(AF69=$AP$69,$AH$69,""),"")</f>
        <v/>
      </c>
      <c r="AG73" s="189" t="str">
        <f ca="1">IF(AG$67=6,IF(AG69=$AP$75,$AH$75,"")&amp;IF(AG69=$AP$76,$AH$76,"")&amp;IF(AG69=$AP$77,$AH$77,"")&amp;IF(AG69=$AP$78,$AH$78,""),"")</f>
        <v/>
      </c>
      <c r="AH73" s="1116"/>
      <c r="AI73" s="1115"/>
      <c r="AJ73" s="445" t="str">
        <f ca="1">N53</f>
        <v>Groep H</v>
      </c>
      <c r="AK73" s="1115"/>
      <c r="AL73" s="1115"/>
      <c r="AM73" s="1115"/>
      <c r="AN73" s="1115"/>
      <c r="AO73" s="1115"/>
      <c r="AP73" s="1115"/>
      <c r="AQ73" s="1115"/>
      <c r="AR73" s="1115"/>
      <c r="AS73" s="1115"/>
      <c r="AT73" s="1115"/>
      <c r="AU73" s="1115"/>
      <c r="AV73" s="1115"/>
      <c r="AW73" s="1115"/>
      <c r="AX73" s="1115"/>
      <c r="AY73" s="1115"/>
      <c r="AZ73" s="1115"/>
      <c r="BA73" s="1115"/>
    </row>
    <row r="74" spans="1:53" ht="15" customHeight="1" x14ac:dyDescent="0.25">
      <c r="C74" s="166"/>
      <c r="D74" s="166"/>
      <c r="E74" s="166"/>
      <c r="F74" s="166"/>
      <c r="G74" s="166"/>
      <c r="H74" s="166"/>
      <c r="I74" s="166"/>
      <c r="J74" s="166"/>
      <c r="K74" s="166"/>
      <c r="L74" s="166"/>
      <c r="M74" s="166"/>
      <c r="N74" s="166"/>
      <c r="O74" s="166"/>
      <c r="P74" s="166"/>
      <c r="Q74" s="166"/>
      <c r="R74" s="166"/>
      <c r="S74" s="166"/>
      <c r="Y74" s="191" t="s">
        <v>936</v>
      </c>
      <c r="Z74" s="189" t="str">
        <f ca="1">IF(Z$67=6,IF(Z70=$AP$12,$AH$12,"")&amp;IF(Z70=$AP$13,$AH$13,"")&amp;IF(Z70=$AP$14,$AH$14,"")&amp;IF(Z70=$AP$15,$AH$15,""),"")</f>
        <v>A3A4</v>
      </c>
      <c r="AA74" s="189" t="str">
        <f ca="1">IF(AA$67=6,IF(AA70=$AP$21,$AH$21,"")&amp;IF(AA70=$AP$22,$AH$22,"")&amp;IF(AA70=$AP$23,$AH$23,"")&amp;IF(AA70=$AP$24,$AH$24,""),"")</f>
        <v>B3</v>
      </c>
      <c r="AB74" s="189" t="str">
        <f ca="1">IF(AB$67=6,IF(AB70=$AP$30,$AH$30,"")&amp;IF(AB70=$AP$31,$AH$31,"")&amp;IF(AB70=$AP$32,$AH$32,"")&amp;IF(AB70=$AP$33,$AH$33,""),"")</f>
        <v>C2C3</v>
      </c>
      <c r="AC74" s="189" t="str">
        <f ca="1">IF(AC$67=6,IF(AC70=$AP$39,$AH$39,"")&amp;IF(AC70=$AP$40,$AH$40,"")&amp;IF(AC70=$AP$41,$AH$41,"")&amp;IF(AC70=$AP$42,$AH$42,""),"")</f>
        <v>D3</v>
      </c>
      <c r="AD74" s="189" t="str">
        <f ca="1">IF(AD$67,IF(AD70=$AP$48,$AH$48,"")&amp;IF(AD70=$AP$49,$AH$49,"")&amp;IF(AD70=$AP$50,$AH$50,"")&amp;IF(AD70=$AP$51,$AH$51,""),"")</f>
        <v>E2E4</v>
      </c>
      <c r="AE74" s="189" t="str">
        <f ca="1">IF(AE$67=6,IF(AE70=$AP$57,$AH$57,"")&amp;IF(AE70=$AP$58,$AH$58,"")&amp;IF(AE70=$AP$59,$AH$59,"")&amp;IF(AE70=$AP$60,$AH$60,""),"")</f>
        <v>F4</v>
      </c>
      <c r="AF74" s="189" t="str">
        <f>IF(AF$67=6,IF(AF70=$AP$66,$AH$66,"")&amp;IF(AF70=$AP$67,$AH$67,"")&amp;IF(AF70=$AP$68,$AH$68,"")&amp;IF(AF70=$AP$69,$AH$69,""),"")</f>
        <v/>
      </c>
      <c r="AG74" s="189" t="str">
        <f ca="1">IF(AG$67=6,IF(AG70=$AP$75,$AH$75,"")&amp;IF(AG70=$AP$76,$AH$76,"")&amp;IF(AG70=$AP$77,$AH$77,"")&amp;IF(AG70=$AP$78,$AH$78,""),"")</f>
        <v/>
      </c>
      <c r="AH74" s="1116"/>
      <c r="AI74" s="1115"/>
      <c r="AJ74" s="444" t="s">
        <v>17</v>
      </c>
      <c r="AK74" s="1147"/>
      <c r="AL74" s="1147"/>
      <c r="AM74" s="1147"/>
      <c r="AN74" s="1147"/>
      <c r="AO74" s="1147"/>
      <c r="AP74" s="1147"/>
      <c r="AQ74" s="1147"/>
      <c r="AR74" s="1147"/>
      <c r="AS74" s="1115"/>
      <c r="AT74" s="1115"/>
      <c r="AU74" s="1115"/>
      <c r="AV74" s="1115"/>
      <c r="AW74" s="1115"/>
      <c r="AX74" s="1115"/>
      <c r="AY74" s="1115"/>
      <c r="AZ74" s="1115"/>
      <c r="BA74" s="1115"/>
    </row>
    <row r="75" spans="1:53" ht="15" customHeight="1" x14ac:dyDescent="0.25">
      <c r="C75" s="166"/>
      <c r="D75" s="166"/>
      <c r="E75" s="166"/>
      <c r="F75" s="166"/>
      <c r="G75" s="166"/>
      <c r="H75" s="166"/>
      <c r="I75" s="166"/>
      <c r="J75" s="166"/>
      <c r="K75" s="166"/>
      <c r="L75" s="166"/>
      <c r="M75" s="166"/>
      <c r="N75" s="166"/>
      <c r="O75" s="166"/>
      <c r="P75" s="166"/>
      <c r="Q75" s="166"/>
      <c r="R75" s="166"/>
      <c r="S75" s="166"/>
      <c r="Y75" s="191" t="s">
        <v>937</v>
      </c>
      <c r="Z75" s="189" t="str">
        <f ca="1">IF(Z$67=6,IF(Z71=$AP$12,$AH$12,"")&amp;IF(Z71=$AP$13,$AH$13,"")&amp;IF(Z71=$AP$14,$AH$14,"")&amp;IF(Z71=$AP$15,$AH$15,""),"")</f>
        <v>A2</v>
      </c>
      <c r="AA75" s="189" t="str">
        <f ca="1">IF(AA$67=6,IF(AA71=$AP$21,$AH$21,"")&amp;IF(AA71=$AP$22,$AH$22,"")&amp;IF(AA71=$AP$23,$AH$23,"")&amp;IF(AA71=$AP$24,$AH$24,""),"")</f>
        <v>B4</v>
      </c>
      <c r="AB75" s="189" t="str">
        <f ca="1">IF(AB$67=6,IF(AB71=$AP$30,$AH$30,"")&amp;IF(AB71=$AP$31,$AH$31,"")&amp;IF(AB71=$AP$32,$AH$32,"")&amp;IF(AB71=$AP$33,$AH$33,""),"")</f>
        <v>C1</v>
      </c>
      <c r="AC75" s="189" t="str">
        <f ca="1">IF(AC$67=6,IF(AC71=$AP$39,$AH$39,"")&amp;IF(AC71=$AP$40,$AH$40,"")&amp;IF(AC71=$AP$41,$AH$41,"")&amp;IF(AC71=$AP$42,$AH$42,""),"")</f>
        <v>D1</v>
      </c>
      <c r="AD75" s="189" t="str">
        <f ca="1">IF(AD$67,IF(AD71=$AP$48,$AH$48,"")&amp;IF(AD71=$AP$49,$AH$49,"")&amp;IF(AD71=$AP$50,$AH$50,"")&amp;IF(AD71=$AP$51,$AH$51,""),"")</f>
        <v>E3</v>
      </c>
      <c r="AE75" s="189" t="str">
        <f ca="1">IF(AE$67=6,IF(AE71=$AP$57,$AH$57,"")&amp;IF(AE71=$AP$58,$AH$58,"")&amp;IF(AE71=$AP$59,$AH$59,"")&amp;IF(AE71=$AP$60,$AH$60,""),"")</f>
        <v>F2</v>
      </c>
      <c r="AF75" s="189" t="str">
        <f>IF(AF$67=6,IF(AF71=$AP$66,$AH$66,"")&amp;IF(AF71=$AP$67,$AH$67,"")&amp;IF(AF71=$AP$68,$AH$68,"")&amp;IF(AF71=$AP$69,$AH$69,""),"")</f>
        <v/>
      </c>
      <c r="AG75" s="189" t="str">
        <f ca="1">IF(AG$67=6,IF(AG71=$AP$75,$AH$75,"")&amp;IF(AG71=$AP$76,$AH$76,"")&amp;IF(AG71=$AP$77,$AH$77,"")&amp;IF(AG71=$AP$78,$AH$78,""),"")</f>
        <v/>
      </c>
      <c r="AH75" s="171" t="str">
        <f ca="1">RIGHT(AJ73,1)&amp;1</f>
        <v>H1</v>
      </c>
      <c r="AI75" s="168">
        <f ca="1">$AU$90</f>
        <v>1</v>
      </c>
      <c r="AJ75" s="446" t="str">
        <f ca="1">VLOOKUP(AH75,Voorblad!$X$67:$Z$98,2,FALSE)</f>
        <v>ZZZ_land_H1</v>
      </c>
      <c r="AK75" s="447" t="str">
        <f ca="1">VLOOKUP(AH75,Voorblad!$X$67:$Z$98,3,FALSE)</f>
        <v>ZE</v>
      </c>
      <c r="AL75" s="203">
        <v>0</v>
      </c>
      <c r="AM75" s="448">
        <f>IF(ISNUMBER(T56),T56,0)</f>
        <v>0</v>
      </c>
      <c r="AN75" s="448">
        <f>IF(ISNUMBER(T58),T58,0)</f>
        <v>0</v>
      </c>
      <c r="AO75" s="448">
        <f>IF(ISNUMBER(V60),V60,0)</f>
        <v>0</v>
      </c>
      <c r="AP75" s="449">
        <f>IF(AD56&lt;&gt;"FOUT",IF(AM75&gt;AL76,3,IF(AM75=AL76,1,0)),0)+IF(AD58&lt;&gt;"FOUT",IF(AN75&gt;AL77,3,IF(AN75=AL77,1,0)),0)+IF(AD59&lt;&gt;"FOUT",IF(AO75&gt;AL78,3,IF(AO75=AL78,1,0)),0)</f>
        <v>0</v>
      </c>
      <c r="AQ75" s="450">
        <f>SUM(AL75:AO75)</f>
        <v>0</v>
      </c>
      <c r="AR75" s="451">
        <f>SUM(AL75:AL78)</f>
        <v>0</v>
      </c>
      <c r="AS75" s="203">
        <v>0</v>
      </c>
      <c r="AT75" s="452">
        <f>IF($AP75=$AP76,AM75,0)</f>
        <v>0</v>
      </c>
      <c r="AU75" s="452">
        <f>IF($AP75=$AP77,AN75,0)</f>
        <v>0</v>
      </c>
      <c r="AV75" s="453">
        <f>IF($AP75=$AP78,AO75,0)</f>
        <v>0</v>
      </c>
      <c r="AW75" s="449">
        <f>IF(AT75&gt;AS76,3,IF(AT75=AS76,1,0))+IF(AU75&gt;AS77,3,IF(AU75=AS77,1,0))+IF(AV75&gt;AS78,3,IF(AV75=AS78,1,0))</f>
        <v>3</v>
      </c>
      <c r="AX75" s="450">
        <f>SUM(AS75:AV75)</f>
        <v>0</v>
      </c>
      <c r="AY75" s="451">
        <f>SUM(AS75:AS78)</f>
        <v>0</v>
      </c>
      <c r="AZ75" s="211">
        <f ca="1">AP75*10000000000000+(500+AQ75-AR75)*10000000000+AQ75*100000000+AW75*1000000+(500+AX75-AY75)*1000+AX75*10+AI75</f>
        <v>5000003500001</v>
      </c>
      <c r="BA75" s="454">
        <f ca="1">RANK(AZ75,AZ75:AZ78)</f>
        <v>4</v>
      </c>
    </row>
    <row r="76" spans="1:53" ht="15" customHeight="1" x14ac:dyDescent="0.25">
      <c r="C76" s="166"/>
      <c r="D76" s="166"/>
      <c r="E76" s="166"/>
      <c r="F76" s="166"/>
      <c r="G76" s="166"/>
      <c r="H76" s="166"/>
      <c r="I76" s="166"/>
      <c r="J76" s="166"/>
      <c r="K76" s="166"/>
      <c r="L76" s="166"/>
      <c r="M76" s="166"/>
      <c r="N76" s="166"/>
      <c r="O76" s="166"/>
      <c r="P76" s="166"/>
      <c r="Q76" s="166"/>
      <c r="R76" s="166"/>
      <c r="S76" s="166"/>
      <c r="Y76" s="191" t="s">
        <v>207</v>
      </c>
      <c r="Z76" s="478" t="str">
        <f ca="1">IF(LEN(Z72)&gt;=2,VLOOKUP(LEFT(Z72,2),Voorblad!$X$67:$Y$98,2),"")&amp;IF(LEN(Z72)&gt;=4," / "&amp;VLOOKUP(RIGHT(LEFT(Z72,4),2),Voorblad!$X$67:$Y$98,2),"")&amp;IF(LEN(Z72)&gt;=6," / "&amp;VLOOKUP(RIGHT(LEFT(Z72,6),2),Voorblad!$X$67:$Y$98,2),"")&amp;IF(LEN(Z72)&gt;=8," / "&amp;VLOOKUP(RIGHT(LEFT(Z72,8),2),Voorblad!$X$67:$Y$98,2),"")</f>
        <v>Duitsland</v>
      </c>
      <c r="AA76" s="478" t="str">
        <f ca="1">IF(LEN(AA72)&gt;=2,VLOOKUP(LEFT(AA72,2),Voorblad!$X$67:$Y$98,2),"")&amp;IF(LEN(AA72)&gt;=4," / "&amp;VLOOKUP(RIGHT(LEFT(AA72,4),2),Voorblad!$X$67:$Y$98,2),"")&amp;IF(LEN(AA72)&gt;=6," / "&amp;VLOOKUP(RIGHT(LEFT(AA72,6),2),Voorblad!$X$67:$Y$98,2),"")&amp;IF(LEN(AA72)&gt;=8," / "&amp;VLOOKUP(RIGHT(LEFT(AA72,8),2),Voorblad!$X$67:$Y$98,2),"")</f>
        <v>Spanje / Kroatië</v>
      </c>
      <c r="AB76" s="478" t="str">
        <f ca="1">IF(LEN(AB72)&gt;=2,VLOOKUP(LEFT(AB72,2),Voorblad!$X$67:$Y$98,2),"")&amp;IF(LEN(AB72)&gt;=4," / "&amp;VLOOKUP(RIGHT(LEFT(AB72,4),2),Voorblad!$X$67:$Y$98,2),"")&amp;IF(LEN(AB72)&gt;=6," / "&amp;VLOOKUP(RIGHT(LEFT(AB72,6),2),Voorblad!$X$67:$Y$98,2),"")&amp;IF(LEN(AB72)&gt;=8," / "&amp;VLOOKUP(RIGHT(LEFT(AB72,8),2),Voorblad!$X$67:$Y$98,2),"")</f>
        <v>Engeland</v>
      </c>
      <c r="AC76" s="478" t="str">
        <f ca="1">IF(LEN(AC72)&gt;=2,VLOOKUP(LEFT(AC72,2),Voorblad!$X$67:$Y$98,2),"")&amp;IF(LEN(AC72)&gt;=4," / "&amp;VLOOKUP(RIGHT(LEFT(AC72,4),2),Voorblad!$X$67:$Y$98,2),"")&amp;IF(LEN(AC72)&gt;=6," / "&amp;VLOOKUP(RIGHT(LEFT(AC72,6),2),Voorblad!$X$67:$Y$98,2),"")&amp;IF(LEN(AC72)&gt;=8," / "&amp;VLOOKUP(RIGHT(LEFT(AC72,8),2),Voorblad!$X$67:$Y$98,2),"")</f>
        <v>Frankrijk</v>
      </c>
      <c r="AD76" s="478" t="str">
        <f ca="1">IF(LEN(AD72)&gt;=2,VLOOKUP(LEFT(AD72,2),Voorblad!$X$67:$Y$98,2),"")&amp;IF(LEN(AD72)&gt;=4," / "&amp;VLOOKUP(RIGHT(LEFT(AD72,4),2),Voorblad!$X$67:$Y$98,2),"")&amp;IF(LEN(AD72)&gt;=6," / "&amp;VLOOKUP(RIGHT(LEFT(AD72,6),2),Voorblad!$X$67:$Y$98,2),"")&amp;IF(LEN(AD72)&gt;=8," / "&amp;VLOOKUP(RIGHT(LEFT(AD72,8),2),Voorblad!$X$67:$Y$98,2),"")</f>
        <v>België</v>
      </c>
      <c r="AE76" s="478" t="str">
        <f ca="1">IF(LEN(AE72)&gt;=2,VLOOKUP(LEFT(AE72,2),Voorblad!$X$67:$Y$98,2),"")&amp;IF(LEN(AE72)&gt;=4," / "&amp;VLOOKUP(RIGHT(LEFT(AE72,4),2),Voorblad!$X$67:$Y$98,2),"")&amp;IF(LEN(AE72)&gt;=6," / "&amp;VLOOKUP(RIGHT(LEFT(AE72,6),2),Voorblad!$X$67:$Y$98,2),"")&amp;IF(LEN(AE72)&gt;=8," / "&amp;VLOOKUP(RIGHT(LEFT(AE72,8),2),Voorblad!$X$67:$Y$98,2),"")</f>
        <v>Portugal</v>
      </c>
      <c r="AF76" s="478" t="str">
        <f>IF(LEN(AF72)&gt;=2,VLOOKUP(LEFT(AF72,2),Voorblad!$X$67:$Y$98,2),"")&amp;IF(LEN(AF72)&gt;=4," / "&amp;VLOOKUP(RIGHT(LEFT(AF72,4),2),Voorblad!$X$67:$Y$98,2),"")&amp;IF(LEN(AF72)&gt;=6," / "&amp;VLOOKUP(RIGHT(LEFT(AF72,6),2),Voorblad!$X$67:$Y$98,2),"")&amp;IF(LEN(AF72)&gt;=8," / "&amp;VLOOKUP(RIGHT(LEFT(AF72,8),2),Voorblad!$X$67:$Y$98,2),"")</f>
        <v/>
      </c>
      <c r="AG76" s="478" t="str">
        <f ca="1">IF(LEN(AG72)&gt;=2,VLOOKUP(LEFT(AG72,2),Voorblad!$X$67:$Y$98,2),"")&amp;IF(LEN(AG72)&gt;=4," / "&amp;VLOOKUP(RIGHT(LEFT(AG72,4),2),Voorblad!$X$67:$Y$98,2),"")&amp;IF(LEN(AG72)&gt;=6," / "&amp;VLOOKUP(RIGHT(LEFT(AG72,6),2),Voorblad!$X$67:$Y$98,2),"")&amp;IF(LEN(AG72)&gt;=8," / "&amp;VLOOKUP(RIGHT(LEFT(AG72,8),2),Voorblad!$X$67:$Y$98,2),"")</f>
        <v/>
      </c>
      <c r="AH76" s="171" t="str">
        <f ca="1">RIGHT(AJ73,1)&amp;2</f>
        <v>H2</v>
      </c>
      <c r="AI76" s="168">
        <f ca="1">$AV$90</f>
        <v>2</v>
      </c>
      <c r="AJ76" s="455" t="str">
        <f ca="1">VLOOKUP(AH76,Voorblad!$X$67:$Z$98,2,FALSE)</f>
        <v>ZZZ_land_H2</v>
      </c>
      <c r="AK76" s="456" t="str">
        <f ca="1">VLOOKUP(AH76,Voorblad!$X$67:$Z$98,3,FALSE)</f>
        <v>ZF</v>
      </c>
      <c r="AL76" s="457">
        <f>IF(ISNUMBER(V56),V56,0)</f>
        <v>0</v>
      </c>
      <c r="AM76" s="202">
        <v>0</v>
      </c>
      <c r="AN76" s="459">
        <f>IF(ISNUMBER(T59),T59,0)</f>
        <v>0</v>
      </c>
      <c r="AO76" s="459">
        <f>IF(ISNUMBER(V57),V57,0)</f>
        <v>0</v>
      </c>
      <c r="AP76" s="460">
        <f>IF(AD56&lt;&gt;"FOUT",IF(AL76&gt;AM75,3,IF(AL76=AM75,1,0)),0)+IF(AD60&lt;&gt;"FOUT",IF(AN76&gt;AM77,3,IF(AN76=AM77,1,0)),0)+IF(AD57&lt;&gt;"FOUT",IF(AO76&gt;AM78,3,IF(AO76=AM78,1,0)),0)</f>
        <v>0</v>
      </c>
      <c r="AQ76" s="461">
        <f>SUM(AL76:AO76)</f>
        <v>0</v>
      </c>
      <c r="AR76" s="462">
        <f>SUM(AM75:AM78)</f>
        <v>0</v>
      </c>
      <c r="AS76" s="456">
        <f>IF($AP76=$AP75,AL76,0)</f>
        <v>0</v>
      </c>
      <c r="AT76" s="202">
        <v>0</v>
      </c>
      <c r="AU76" s="458">
        <f>IF($AP76=$AP77,AN76,0)</f>
        <v>0</v>
      </c>
      <c r="AV76" s="463">
        <f>IF($AP76=$AP78,AO76,0)</f>
        <v>0</v>
      </c>
      <c r="AW76" s="460">
        <f>IF(AS76&gt;AT75,3,IF(AS76=AT75,1,0))+IF(AU76&gt;AT77,3,IF(AU76=AT77,1,0))+IF(AV76&gt;AT78,3,IF(AV76=AT78,1,0))</f>
        <v>3</v>
      </c>
      <c r="AX76" s="461">
        <f>SUM(AS76:AV76)</f>
        <v>0</v>
      </c>
      <c r="AY76" s="462">
        <f>SUM(AT75:AT78)</f>
        <v>0</v>
      </c>
      <c r="AZ76" s="212">
        <f ca="1">AP76*10000000000000+(500+AQ76-AR76)*10000000000+AQ76*100000000+AW76*1000000+(500+AX76-AY76)*1000+AX76*10+AI76</f>
        <v>5000003500002</v>
      </c>
      <c r="BA76" s="464">
        <f ca="1">RANK(AZ76,AZ75:AZ78)</f>
        <v>3</v>
      </c>
    </row>
    <row r="77" spans="1:53" ht="15" customHeight="1" x14ac:dyDescent="0.25">
      <c r="C77" s="166"/>
      <c r="D77" s="166"/>
      <c r="E77" s="166"/>
      <c r="F77" s="166"/>
      <c r="G77" s="166"/>
      <c r="H77" s="166"/>
      <c r="I77" s="166"/>
      <c r="J77" s="166"/>
      <c r="K77" s="166"/>
      <c r="L77" s="166"/>
      <c r="M77" s="166"/>
      <c r="N77" s="166"/>
      <c r="O77" s="166"/>
      <c r="P77" s="166"/>
      <c r="Q77" s="166"/>
      <c r="R77" s="166"/>
      <c r="S77" s="166"/>
      <c r="Y77" s="191" t="s">
        <v>208</v>
      </c>
      <c r="Z77" s="478" t="str">
        <f ca="1">IF(LEN(Z73)&gt;=2,VLOOKUP(LEFT(Z73,2),Voorblad!$X$67:$Y$98,2),"")&amp;IF(LEN(Z73)&gt;=4," / "&amp;VLOOKUP(RIGHT(LEFT(Z73,4),2),Voorblad!$X$67:$Y$98,2),"")&amp;IF(LEN(Z73)&gt;=6," / "&amp;VLOOKUP(RIGHT(LEFT(Z73,6),2),Voorblad!$X$67:$Y$98,2),"")&amp;IF(LEN(Z73)&gt;=8," / "&amp;VLOOKUP(RIGHT(LEFT(Z73,8),2),Voorblad!$X$67:$Y$98,2),"")</f>
        <v>Hongarije / Zwitserland</v>
      </c>
      <c r="AA77" s="478" t="str">
        <f ca="1">IF(LEN(AA73)&gt;=2,VLOOKUP(LEFT(AA73,2),Voorblad!$X$67:$Y$98,2),"")&amp;IF(LEN(AA73)&gt;=4," / "&amp;VLOOKUP(RIGHT(LEFT(AA73,4),2),Voorblad!$X$67:$Y$98,2),"")&amp;IF(LEN(AA73)&gt;=6," / "&amp;VLOOKUP(RIGHT(LEFT(AA73,6),2),Voorblad!$X$67:$Y$98,2),"")&amp;IF(LEN(AA73)&gt;=8," / "&amp;VLOOKUP(RIGHT(LEFT(AA73,8),2),Voorblad!$X$67:$Y$98,2),"")</f>
        <v>Spanje / Kroatië</v>
      </c>
      <c r="AB77" s="478" t="str">
        <f ca="1">IF(LEN(AB73)&gt;=2,VLOOKUP(LEFT(AB73,2),Voorblad!$X$67:$Y$98,2),"")&amp;IF(LEN(AB73)&gt;=4," / "&amp;VLOOKUP(RIGHT(LEFT(AB73,4),2),Voorblad!$X$67:$Y$98,2),"")&amp;IF(LEN(AB73)&gt;=6," / "&amp;VLOOKUP(RIGHT(LEFT(AB73,6),2),Voorblad!$X$67:$Y$98,2),"")&amp;IF(LEN(AB73)&gt;=8," / "&amp;VLOOKUP(RIGHT(LEFT(AB73,8),2),Voorblad!$X$67:$Y$98,2),"")</f>
        <v>Denemarken / Servië</v>
      </c>
      <c r="AC77" s="478" t="str">
        <f ca="1">IF(LEN(AC73)&gt;=2,VLOOKUP(LEFT(AC73,2),Voorblad!$X$67:$Y$98,2),"")&amp;IF(LEN(AC73)&gt;=4," / "&amp;VLOOKUP(RIGHT(LEFT(AC73,4),2),Voorblad!$X$67:$Y$98,2),"")&amp;IF(LEN(AC73)&gt;=6," / "&amp;VLOOKUP(RIGHT(LEFT(AC73,6),2),Voorblad!$X$67:$Y$98,2),"")&amp;IF(LEN(AC73)&gt;=8," / "&amp;VLOOKUP(RIGHT(LEFT(AC73,8),2),Voorblad!$X$67:$Y$98,2),"")</f>
        <v>Nederland</v>
      </c>
      <c r="AD77" s="478" t="str">
        <f ca="1">IF(LEN(AD73)&gt;=2,VLOOKUP(LEFT(AD73,2),Voorblad!$X$67:$Y$98,2),"")&amp;IF(LEN(AD73)&gt;=4," / "&amp;VLOOKUP(RIGHT(LEFT(AD73,4),2),Voorblad!$X$67:$Y$98,2),"")&amp;IF(LEN(AD73)&gt;=6," / "&amp;VLOOKUP(RIGHT(LEFT(AD73,6),2),Voorblad!$X$67:$Y$98,2),"")&amp;IF(LEN(AD73)&gt;=8," / "&amp;VLOOKUP(RIGHT(LEFT(AD73,8),2),Voorblad!$X$67:$Y$98,2),"")</f>
        <v>Slowakije / Oekraïne</v>
      </c>
      <c r="AE77" s="478" t="str">
        <f ca="1">IF(LEN(AE73)&gt;=2,VLOOKUP(LEFT(AE73,2),Voorblad!$X$67:$Y$98,2),"")&amp;IF(LEN(AE73)&gt;=4," / "&amp;VLOOKUP(RIGHT(LEFT(AE73,4),2),Voorblad!$X$67:$Y$98,2),"")&amp;IF(LEN(AE73)&gt;=6," / "&amp;VLOOKUP(RIGHT(LEFT(AE73,6),2),Voorblad!$X$67:$Y$98,2),"")&amp;IF(LEN(AE73)&gt;=8," / "&amp;VLOOKUP(RIGHT(LEFT(AE73,8),2),Voorblad!$X$67:$Y$98,2),"")</f>
        <v>Turkije</v>
      </c>
      <c r="AF77" s="478" t="str">
        <f>IF(LEN(AF73)&gt;=2,VLOOKUP(LEFT(AF73,2),Voorblad!$X$67:$Y$98,2),"")&amp;IF(LEN(AF73)&gt;=4," / "&amp;VLOOKUP(RIGHT(LEFT(AF73,4),2),Voorblad!$X$67:$Y$98,2),"")&amp;IF(LEN(AF73)&gt;=6," / "&amp;VLOOKUP(RIGHT(LEFT(AF73,6),2),Voorblad!$X$67:$Y$98,2),"")&amp;IF(LEN(AF73)&gt;=8," / "&amp;VLOOKUP(RIGHT(LEFT(AF73,8),2),Voorblad!$X$67:$Y$98,2),"")</f>
        <v/>
      </c>
      <c r="AG77" s="478" t="str">
        <f ca="1">IF(LEN(AG73)&gt;=2,VLOOKUP(LEFT(AG73,2),Voorblad!$X$67:$Y$98,2),"")&amp;IF(LEN(AG73)&gt;=4," / "&amp;VLOOKUP(RIGHT(LEFT(AG73,4),2),Voorblad!$X$67:$Y$98,2),"")&amp;IF(LEN(AG73)&gt;=6," / "&amp;VLOOKUP(RIGHT(LEFT(AG73,6),2),Voorblad!$X$67:$Y$98,2),"")&amp;IF(LEN(AG73)&gt;=8," / "&amp;VLOOKUP(RIGHT(LEFT(AG73,8),2),Voorblad!$X$67:$Y$98,2),"")</f>
        <v/>
      </c>
      <c r="AH77" s="171" t="str">
        <f ca="1">RIGHT(AJ73,1)&amp;3</f>
        <v>H3</v>
      </c>
      <c r="AI77" s="168">
        <f ca="1">$AW$90</f>
        <v>3</v>
      </c>
      <c r="AJ77" s="455" t="str">
        <f ca="1">VLOOKUP(AH77,Voorblad!$X$67:$Z$98,2,FALSE)</f>
        <v>ZZZ_land_H3</v>
      </c>
      <c r="AK77" s="456" t="str">
        <f ca="1">VLOOKUP(AH77,Voorblad!$X$67:$Z$98,3,FALSE)</f>
        <v>ZG</v>
      </c>
      <c r="AL77" s="457">
        <f>IF(ISNUMBER(V58),V58,0)</f>
        <v>0</v>
      </c>
      <c r="AM77" s="459">
        <f>IF(ISNUMBER(V59),V59,0)</f>
        <v>0</v>
      </c>
      <c r="AN77" s="202">
        <v>0</v>
      </c>
      <c r="AO77" s="459">
        <f>IF(ISNUMBER(T55),T55,0)</f>
        <v>0</v>
      </c>
      <c r="AP77" s="460">
        <f>IF(AD58&lt;&gt;"FOUT",IF(AL77&gt;AN75,3,IF(AL77=AN75,1,0)),0)+IF(AD60&lt;&gt;"FOUT",IF(AM77&gt;AN76,3,IF(AM77=AN76,1,0)),0)+IF(AD55&lt;&gt;"FOUT",IF(AO77&gt;AN78,3,IF(AO77=AN78,1,0)),0)</f>
        <v>0</v>
      </c>
      <c r="AQ77" s="461">
        <f>SUM(AL77:AO77)</f>
        <v>0</v>
      </c>
      <c r="AR77" s="462">
        <f>SUM(AN75:AN78)</f>
        <v>0</v>
      </c>
      <c r="AS77" s="456">
        <f>IF($AP77=$AP75,AL77,0)</f>
        <v>0</v>
      </c>
      <c r="AT77" s="458">
        <f>IF($AP77=$AP76,AM77,0)</f>
        <v>0</v>
      </c>
      <c r="AU77" s="202">
        <v>0</v>
      </c>
      <c r="AV77" s="463">
        <f>IF($AP77=$AP78,AO77,0)</f>
        <v>0</v>
      </c>
      <c r="AW77" s="460">
        <f>IF(AS77&gt;AU75,3,IF(AS77=AU75,1,0))+IF(AT77&gt;AU76,3,IF(AT77=AU76,1,0))+IF(AV77&gt;AU78,3,IF(AV77=AU78,1,0))</f>
        <v>3</v>
      </c>
      <c r="AX77" s="461">
        <f>SUM(AS77:AV77)</f>
        <v>0</v>
      </c>
      <c r="AY77" s="462">
        <f>SUM(AU75:AU78)</f>
        <v>0</v>
      </c>
      <c r="AZ77" s="212">
        <f ca="1">AP77*10000000000000+(500+AQ77-AR77)*10000000000+AQ77*100000000+AW77*1000000+(500+AX77-AY77)*1000+AX77*10+AI77</f>
        <v>5000003500003</v>
      </c>
      <c r="BA77" s="464">
        <f ca="1">RANK(AZ77,AZ75:AZ78)</f>
        <v>2</v>
      </c>
    </row>
    <row r="78" spans="1:53" ht="15" customHeight="1" x14ac:dyDescent="0.25">
      <c r="C78" s="166"/>
      <c r="D78" s="166"/>
      <c r="E78" s="166"/>
      <c r="F78" s="166"/>
      <c r="G78" s="166"/>
      <c r="H78" s="166"/>
      <c r="I78" s="166"/>
      <c r="J78" s="166"/>
      <c r="K78" s="166"/>
      <c r="L78" s="166"/>
      <c r="M78" s="166"/>
      <c r="N78" s="166"/>
      <c r="O78" s="166"/>
      <c r="P78" s="166"/>
      <c r="Q78" s="166"/>
      <c r="R78" s="166"/>
      <c r="S78" s="166"/>
      <c r="Y78" s="191" t="s">
        <v>209</v>
      </c>
      <c r="Z78" s="478" t="str">
        <f ca="1">IF(LEN(Z74)&gt;=2,VLOOKUP(LEFT(Z74,2),Voorblad!$X$67:$Y$98,2),"")&amp;IF(LEN(Z74)&gt;=4," / "&amp;VLOOKUP(RIGHT(LEFT(Z74,4),2),Voorblad!$X$67:$Y$98,2),"")&amp;IF(LEN(Z74)&gt;=6," / "&amp;VLOOKUP(RIGHT(LEFT(Z74,6),2),Voorblad!$X$67:$Y$98,2),"")&amp;IF(LEN(Z74)&gt;=8," / "&amp;VLOOKUP(RIGHT(LEFT(Z74,8),2),Voorblad!$X$67:$Y$98,2),"")</f>
        <v>Hongarije / Zwitserland</v>
      </c>
      <c r="AA78" s="478" t="str">
        <f ca="1">IF(LEN(AA74)&gt;=2,VLOOKUP(LEFT(AA74,2),Voorblad!$X$67:$Y$98,2),"")&amp;IF(LEN(AA74)&gt;=4," / "&amp;VLOOKUP(RIGHT(LEFT(AA74,4),2),Voorblad!$X$67:$Y$98,2),"")&amp;IF(LEN(AA74)&gt;=6," / "&amp;VLOOKUP(RIGHT(LEFT(AA74,6),2),Voorblad!$X$67:$Y$98,2),"")&amp;IF(LEN(AA74)&gt;=8," / "&amp;VLOOKUP(RIGHT(LEFT(AA74,8),2),Voorblad!$X$67:$Y$98,2),"")</f>
        <v>Italië</v>
      </c>
      <c r="AB78" s="478" t="str">
        <f ca="1">IF(LEN(AB74)&gt;=2,VLOOKUP(LEFT(AB74,2),Voorblad!$X$67:$Y$98,2),"")&amp;IF(LEN(AB74)&gt;=4," / "&amp;VLOOKUP(RIGHT(LEFT(AB74,4),2),Voorblad!$X$67:$Y$98,2),"")&amp;IF(LEN(AB74)&gt;=6," / "&amp;VLOOKUP(RIGHT(LEFT(AB74,6),2),Voorblad!$X$67:$Y$98,2),"")&amp;IF(LEN(AB74)&gt;=8," / "&amp;VLOOKUP(RIGHT(LEFT(AB74,8),2),Voorblad!$X$67:$Y$98,2),"")</f>
        <v>Denemarken / Servië</v>
      </c>
      <c r="AC78" s="478" t="str">
        <f ca="1">IF(LEN(AC74)&gt;=2,VLOOKUP(LEFT(AC74,2),Voorblad!$X$67:$Y$98,2),"")&amp;IF(LEN(AC74)&gt;=4," / "&amp;VLOOKUP(RIGHT(LEFT(AC74,4),2),Voorblad!$X$67:$Y$98,2),"")&amp;IF(LEN(AC74)&gt;=6," / "&amp;VLOOKUP(RIGHT(LEFT(AC74,6),2),Voorblad!$X$67:$Y$98,2),"")&amp;IF(LEN(AC74)&gt;=8," / "&amp;VLOOKUP(RIGHT(LEFT(AC74,8),2),Voorblad!$X$67:$Y$98,2),"")</f>
        <v>Oostenrijk</v>
      </c>
      <c r="AD78" s="478" t="str">
        <f ca="1">IF(LEN(AD74)&gt;=2,VLOOKUP(LEFT(AD74,2),Voorblad!$X$67:$Y$98,2),"")&amp;IF(LEN(AD74)&gt;=4," / "&amp;VLOOKUP(RIGHT(LEFT(AD74,4),2),Voorblad!$X$67:$Y$98,2),"")&amp;IF(LEN(AD74)&gt;=6," / "&amp;VLOOKUP(RIGHT(LEFT(AD74,6),2),Voorblad!$X$67:$Y$98,2),"")&amp;IF(LEN(AD74)&gt;=8," / "&amp;VLOOKUP(RIGHT(LEFT(AD74,8),2),Voorblad!$X$67:$Y$98,2),"")</f>
        <v>Slowakije / Oekraïne</v>
      </c>
      <c r="AE78" s="478" t="str">
        <f ca="1">IF(LEN(AE74)&gt;=2,VLOOKUP(LEFT(AE74,2),Voorblad!$X$67:$Y$98,2),"")&amp;IF(LEN(AE74)&gt;=4," / "&amp;VLOOKUP(RIGHT(LEFT(AE74,4),2),Voorblad!$X$67:$Y$98,2),"")&amp;IF(LEN(AE74)&gt;=6," / "&amp;VLOOKUP(RIGHT(LEFT(AE74,6),2),Voorblad!$X$67:$Y$98,2),"")&amp;IF(LEN(AE74)&gt;=8," / "&amp;VLOOKUP(RIGHT(LEFT(AE74,8),2),Voorblad!$X$67:$Y$98,2),"")</f>
        <v>Tsjechië</v>
      </c>
      <c r="AF78" s="478" t="str">
        <f>IF(LEN(AF74)&gt;=2,VLOOKUP(LEFT(AF74,2),Voorblad!$X$67:$Y$98,2),"")&amp;IF(LEN(AF74)&gt;=4," / "&amp;VLOOKUP(RIGHT(LEFT(AF74,4),2),Voorblad!$X$67:$Y$98,2),"")&amp;IF(LEN(AF74)&gt;=6," / "&amp;VLOOKUP(RIGHT(LEFT(AF74,6),2),Voorblad!$X$67:$Y$98,2),"")&amp;IF(LEN(AF74)&gt;=8," / "&amp;VLOOKUP(RIGHT(LEFT(AF74,8),2),Voorblad!$X$67:$Y$98,2),"")</f>
        <v/>
      </c>
      <c r="AG78" s="478" t="str">
        <f ca="1">IF(LEN(AG74)&gt;=2,VLOOKUP(LEFT(AG74,2),Voorblad!$X$67:$Y$98,2),"")&amp;IF(LEN(AG74)&gt;=4," / "&amp;VLOOKUP(RIGHT(LEFT(AG74,4),2),Voorblad!$X$67:$Y$98,2),"")&amp;IF(LEN(AG74)&gt;=6," / "&amp;VLOOKUP(RIGHT(LEFT(AG74,6),2),Voorblad!$X$67:$Y$98,2),"")&amp;IF(LEN(AG74)&gt;=8," / "&amp;VLOOKUP(RIGHT(LEFT(AG74,8),2),Voorblad!$X$67:$Y$98,2),"")</f>
        <v/>
      </c>
      <c r="AH78" s="171" t="str">
        <f ca="1">RIGHT(AJ73,1)&amp;4</f>
        <v>H4</v>
      </c>
      <c r="AI78" s="168">
        <f ca="1">$AX$90</f>
        <v>4</v>
      </c>
      <c r="AJ78" s="465" t="str">
        <f ca="1">VLOOKUP(AH78,Voorblad!$X$67:$Z$98,2,FALSE)</f>
        <v>ZZZ_land_H4</v>
      </c>
      <c r="AK78" s="466" t="str">
        <f ca="1">VLOOKUP(AH78,Voorblad!$X$67:$Z$98,3,FALSE)</f>
        <v>ZH</v>
      </c>
      <c r="AL78" s="467">
        <f>IF(ISNUMBER(T60),T60,0)</f>
        <v>0</v>
      </c>
      <c r="AM78" s="468">
        <f>IF(ISNUMBER(T57),T57,0)</f>
        <v>0</v>
      </c>
      <c r="AN78" s="468">
        <f>IF(ISNUMBER(V55),V55,0)</f>
        <v>0</v>
      </c>
      <c r="AO78" s="210">
        <v>0</v>
      </c>
      <c r="AP78" s="428">
        <f>IF(AD59&lt;&gt;"FOUT",IF(AM78&gt;AO76,3,IF(AM78=AO76,1,0)),0)+IF(AD57&lt;&gt;"FOUT",IF(AN78&gt;AO77,3,IF(AN78=AO77,1,0)),0)+IF(AD55&lt;&gt;"FOUT",IF(AL78&gt;AO75,3,IF(AL78=AO75,1,0)),0)</f>
        <v>0</v>
      </c>
      <c r="AQ78" s="470">
        <f>SUM(AL78:AO78)</f>
        <v>0</v>
      </c>
      <c r="AR78" s="471">
        <f>SUM(AO75:AO78)</f>
        <v>0</v>
      </c>
      <c r="AS78" s="466">
        <f>IF($AP78=$AP75,AL78,0)</f>
        <v>0</v>
      </c>
      <c r="AT78" s="469">
        <f>IF($AP78=$AP76,AM78,0)</f>
        <v>0</v>
      </c>
      <c r="AU78" s="469">
        <f>IF($AP78=$AP77,AN78,0)</f>
        <v>0</v>
      </c>
      <c r="AV78" s="201">
        <v>0</v>
      </c>
      <c r="AW78" s="428">
        <f>IF(AS78&gt;AV75,3,IF(AS78=AV75,1,0))+IF(AT78&gt;AV76,3,IF(AT78=AV76,1,0))+IF(AU78&gt;AV77,3,IF(AU78=AV77,1,0))</f>
        <v>3</v>
      </c>
      <c r="AX78" s="470">
        <f>SUM(AS78:AV78)</f>
        <v>0</v>
      </c>
      <c r="AY78" s="471">
        <f>SUM(AV75:AV78)</f>
        <v>0</v>
      </c>
      <c r="AZ78" s="213">
        <f ca="1">AP78*10000000000000+(500+AQ78-AR78)*10000000000+AQ78*100000000+AW78*1000000+(500+AX78-AY78)*1000+AX78*10+AI78</f>
        <v>5000003500004</v>
      </c>
      <c r="BA78" s="472">
        <f ca="1">RANK(AZ78,AZ75:AZ78)</f>
        <v>1</v>
      </c>
    </row>
    <row r="79" spans="1:53" ht="15" customHeight="1" x14ac:dyDescent="0.25">
      <c r="C79" s="166"/>
      <c r="D79" s="166"/>
      <c r="E79" s="166"/>
      <c r="F79" s="166"/>
      <c r="G79" s="166"/>
      <c r="H79" s="166"/>
      <c r="I79" s="166"/>
      <c r="J79" s="166"/>
      <c r="K79" s="166"/>
      <c r="L79" s="166"/>
      <c r="M79" s="166"/>
      <c r="N79" s="166"/>
      <c r="O79" s="166"/>
      <c r="P79" s="166"/>
      <c r="Q79" s="166"/>
      <c r="R79" s="166"/>
      <c r="S79" s="166"/>
      <c r="Y79" s="191" t="s">
        <v>210</v>
      </c>
      <c r="Z79" s="478" t="str">
        <f ca="1">IF(LEN(Z75)&gt;=2,VLOOKUP(LEFT(Z75,2),Voorblad!$X$67:$Y$98,2),"")&amp;IF(LEN(Z75)&gt;=4," / "&amp;VLOOKUP(RIGHT(LEFT(Z75,4),2),Voorblad!$X$67:$Y$98,2),"")&amp;IF(LEN(Z75)&gt;=6," / "&amp;VLOOKUP(RIGHT(LEFT(Z75,6),2),Voorblad!$X$67:$Y$98,2),"")&amp;IF(LEN(Z75)&gt;=8," / "&amp;VLOOKUP(RIGHT(LEFT(Z75,8),2),Voorblad!$X$67:$Y$98,2),"")</f>
        <v>Schotland</v>
      </c>
      <c r="AA79" s="478" t="str">
        <f ca="1">IF(LEN(AA75)&gt;=2,VLOOKUP(LEFT(AA75,2),Voorblad!$X$67:$Y$98,2),"")&amp;IF(LEN(AA75)&gt;=4," / "&amp;VLOOKUP(RIGHT(LEFT(AA75,4),2),Voorblad!$X$67:$Y$98,2),"")&amp;IF(LEN(AA75)&gt;=6," / "&amp;VLOOKUP(RIGHT(LEFT(AA75,6),2),Voorblad!$X$67:$Y$98,2),"")&amp;IF(LEN(AA75)&gt;=8," / "&amp;VLOOKUP(RIGHT(LEFT(AA75,8),2),Voorblad!$X$67:$Y$98,2),"")</f>
        <v>Albanië</v>
      </c>
      <c r="AB79" s="478" t="str">
        <f ca="1">IF(LEN(AB75)&gt;=2,VLOOKUP(LEFT(AB75,2),Voorblad!$X$67:$Y$98,2),"")&amp;IF(LEN(AB75)&gt;=4," / "&amp;VLOOKUP(RIGHT(LEFT(AB75,4),2),Voorblad!$X$67:$Y$98,2),"")&amp;IF(LEN(AB75)&gt;=6," / "&amp;VLOOKUP(RIGHT(LEFT(AB75,6),2),Voorblad!$X$67:$Y$98,2),"")&amp;IF(LEN(AB75)&gt;=8," / "&amp;VLOOKUP(RIGHT(LEFT(AB75,8),2),Voorblad!$X$67:$Y$98,2),"")</f>
        <v>Slovenië</v>
      </c>
      <c r="AC79" s="478" t="str">
        <f ca="1">IF(LEN(AC75)&gt;=2,VLOOKUP(LEFT(AC75,2),Voorblad!$X$67:$Y$98,2),"")&amp;IF(LEN(AC75)&gt;=4," / "&amp;VLOOKUP(RIGHT(LEFT(AC75,4),2),Voorblad!$X$67:$Y$98,2),"")&amp;IF(LEN(AC75)&gt;=6," / "&amp;VLOOKUP(RIGHT(LEFT(AC75,6),2),Voorblad!$X$67:$Y$98,2),"")&amp;IF(LEN(AC75)&gt;=8," / "&amp;VLOOKUP(RIGHT(LEFT(AC75,8),2),Voorblad!$X$67:$Y$98,2),"")</f>
        <v>Polen</v>
      </c>
      <c r="AD79" s="478" t="str">
        <f ca="1">IF(LEN(AD75)&gt;=2,VLOOKUP(LEFT(AD75,2),Voorblad!$X$67:$Y$98,2),"")&amp;IF(LEN(AD75)&gt;=4," / "&amp;VLOOKUP(RIGHT(LEFT(AD75,4),2),Voorblad!$X$67:$Y$98,2),"")&amp;IF(LEN(AD75)&gt;=6," / "&amp;VLOOKUP(RIGHT(LEFT(AD75,6),2),Voorblad!$X$67:$Y$98,2),"")&amp;IF(LEN(AD75)&gt;=8," / "&amp;VLOOKUP(RIGHT(LEFT(AD75,8),2),Voorblad!$X$67:$Y$98,2),"")</f>
        <v>Roemenië</v>
      </c>
      <c r="AE79" s="478" t="str">
        <f ca="1">IF(LEN(AE75)&gt;=2,VLOOKUP(LEFT(AE75,2),Voorblad!$X$67:$Y$98,2),"")&amp;IF(LEN(AE75)&gt;=4," / "&amp;VLOOKUP(RIGHT(LEFT(AE75,4),2),Voorblad!$X$67:$Y$98,2),"")&amp;IF(LEN(AE75)&gt;=6," / "&amp;VLOOKUP(RIGHT(LEFT(AE75,6),2),Voorblad!$X$67:$Y$98,2),"")&amp;IF(LEN(AE75)&gt;=8," / "&amp;VLOOKUP(RIGHT(LEFT(AE75,8),2),Voorblad!$X$67:$Y$98,2),"")</f>
        <v>Georgië</v>
      </c>
      <c r="AF79" s="478" t="str">
        <f>IF(LEN(AF75)&gt;=2,VLOOKUP(LEFT(AF75,2),Voorblad!$X$67:$Y$98,2),"")&amp;IF(LEN(AF75)&gt;=4," / "&amp;VLOOKUP(RIGHT(LEFT(AF75,4),2),Voorblad!$X$67:$Y$98,2),"")&amp;IF(LEN(AF75)&gt;=6," / "&amp;VLOOKUP(RIGHT(LEFT(AF75,6),2),Voorblad!$X$67:$Y$98,2),"")&amp;IF(LEN(AF75)&gt;=8," / "&amp;VLOOKUP(RIGHT(LEFT(AF75,8),2),Voorblad!$X$67:$Y$98,2),"")</f>
        <v/>
      </c>
      <c r="AG79" s="478" t="str">
        <f ca="1">IF(LEN(AG75)&gt;=2,VLOOKUP(LEFT(AG75,2),Voorblad!$X$67:$Y$98,2),"")&amp;IF(LEN(AG75)&gt;=4," / "&amp;VLOOKUP(RIGHT(LEFT(AG75,4),2),Voorblad!$X$67:$Y$98,2),"")&amp;IF(LEN(AG75)&gt;=6," / "&amp;VLOOKUP(RIGHT(LEFT(AG75,6),2),Voorblad!$X$67:$Y$98,2),"")&amp;IF(LEN(AG75)&gt;=8," / "&amp;VLOOKUP(RIGHT(LEFT(AG75,8),2),Voorblad!$X$67:$Y$98,2),"")</f>
        <v/>
      </c>
      <c r="AH79" s="182"/>
      <c r="AI79" s="182"/>
      <c r="AJ79" s="444" t="s">
        <v>230</v>
      </c>
      <c r="AK79" s="444" t="str">
        <f ca="1">IF(COUNTIF(AB52:AC60,"GOED")=12,"JA","NEE")</f>
        <v>NEE</v>
      </c>
      <c r="AL79" s="474"/>
      <c r="AM79" s="474"/>
      <c r="AN79" s="474"/>
      <c r="AO79" s="474"/>
      <c r="AP79" s="69"/>
      <c r="AQ79" s="69"/>
      <c r="AR79" s="69"/>
      <c r="AS79" s="473"/>
      <c r="AT79" s="473"/>
      <c r="AU79" s="473"/>
      <c r="AV79" s="473"/>
      <c r="AW79" s="473"/>
      <c r="AX79" s="476"/>
      <c r="AY79" s="473"/>
      <c r="AZ79" s="473"/>
      <c r="BA79" s="473"/>
    </row>
    <row r="80" spans="1:53" ht="15" customHeight="1" x14ac:dyDescent="0.25">
      <c r="C80" s="166"/>
      <c r="D80" s="166"/>
      <c r="E80" s="166"/>
      <c r="F80" s="166"/>
      <c r="G80" s="166"/>
      <c r="H80" s="166"/>
      <c r="I80" s="166"/>
      <c r="J80" s="166"/>
      <c r="K80" s="166"/>
      <c r="L80" s="166"/>
      <c r="M80" s="166"/>
      <c r="N80" s="166"/>
      <c r="O80" s="166"/>
      <c r="P80" s="166"/>
      <c r="Q80" s="166"/>
      <c r="R80" s="166"/>
      <c r="S80" s="166"/>
      <c r="Y80" s="188"/>
      <c r="Z80" s="188"/>
      <c r="AA80" s="188"/>
      <c r="AB80" s="188"/>
      <c r="AC80" s="188"/>
      <c r="AD80" s="188"/>
      <c r="AE80" s="189"/>
      <c r="AF80" s="189"/>
      <c r="AG80" s="189"/>
      <c r="AH80" s="182"/>
      <c r="AI80" s="182"/>
      <c r="AJ80" s="473"/>
      <c r="AK80" s="476"/>
      <c r="AL80" s="474"/>
      <c r="AM80" s="474"/>
      <c r="AN80" s="474"/>
      <c r="AO80" s="474"/>
      <c r="AP80" s="475"/>
      <c r="AQ80" s="475"/>
      <c r="AR80" s="475"/>
      <c r="AS80" s="476"/>
      <c r="AT80" s="476"/>
      <c r="AU80" s="476"/>
      <c r="AV80" s="476"/>
      <c r="AW80" s="476"/>
      <c r="AX80" s="476"/>
      <c r="AY80" s="473"/>
      <c r="AZ80" s="473"/>
      <c r="BA80" s="444"/>
    </row>
    <row r="81" spans="3:53" ht="15" customHeight="1" x14ac:dyDescent="0.25">
      <c r="C81" s="166"/>
      <c r="D81" s="166"/>
      <c r="E81" s="166"/>
      <c r="F81" s="166"/>
      <c r="G81" s="166"/>
      <c r="H81" s="166"/>
      <c r="I81" s="166"/>
      <c r="J81" s="166"/>
      <c r="K81" s="166"/>
      <c r="L81" s="166"/>
      <c r="M81" s="166"/>
      <c r="N81" s="166"/>
      <c r="O81" s="166"/>
      <c r="P81" s="166"/>
      <c r="Q81" s="166"/>
      <c r="R81" s="166"/>
      <c r="S81" s="166"/>
      <c r="Y81" s="1110" t="s">
        <v>475</v>
      </c>
      <c r="Z81" s="1110"/>
      <c r="AA81" s="75"/>
      <c r="AB81" s="75"/>
      <c r="AC81" s="75"/>
      <c r="AD81" s="75"/>
      <c r="AE81" s="89"/>
      <c r="AF81" s="89"/>
      <c r="AG81" s="89"/>
      <c r="AH81" s="1149" t="s">
        <v>873</v>
      </c>
      <c r="AI81" s="1149"/>
      <c r="AJ81" s="1149"/>
      <c r="AK81" s="1149"/>
      <c r="AL81" s="64"/>
      <c r="AM81" s="64"/>
      <c r="AN81" s="64"/>
      <c r="AO81" s="64"/>
      <c r="AP81" s="64"/>
      <c r="AQ81" s="64"/>
      <c r="AR81" s="64"/>
      <c r="AS81" s="232"/>
      <c r="AT81" s="232"/>
      <c r="AU81" s="232"/>
      <c r="AV81" s="232"/>
      <c r="AW81" s="232"/>
      <c r="AX81" s="232"/>
      <c r="AY81" s="232"/>
      <c r="AZ81" s="232"/>
      <c r="BA81" s="232"/>
    </row>
    <row r="82" spans="3:53" ht="15" customHeight="1" x14ac:dyDescent="0.25">
      <c r="Y82" s="1110"/>
      <c r="Z82" s="1110"/>
      <c r="AA82" s="75"/>
      <c r="AB82" s="75"/>
      <c r="AC82" s="75"/>
      <c r="AD82" s="75"/>
      <c r="AE82" s="89"/>
      <c r="AF82" s="89"/>
      <c r="AG82" s="89"/>
      <c r="AH82" s="1149"/>
      <c r="AI82" s="1149"/>
      <c r="AJ82" s="1149"/>
      <c r="AK82" s="1149"/>
      <c r="AL82" s="64"/>
      <c r="AM82" s="64"/>
      <c r="AN82" s="64"/>
      <c r="AO82" s="64"/>
      <c r="AP82" s="64"/>
      <c r="AQ82" s="64"/>
      <c r="AR82" s="64"/>
      <c r="AS82" s="232"/>
      <c r="AT82" s="232"/>
      <c r="AU82" s="232"/>
      <c r="AV82" s="232"/>
      <c r="AW82" s="232"/>
      <c r="AX82" s="232"/>
      <c r="AY82" s="232"/>
      <c r="AZ82" s="613" t="str">
        <f ca="1">Taal02!B48</f>
        <v>B4E1C2A1C4D4F2A3B3B2D2E4D3D1F3E3A2C3C1E2B1F4F1A4G1G2G3G4H1H2H3H4</v>
      </c>
      <c r="BA82" s="232"/>
    </row>
    <row r="83" spans="3:53" x14ac:dyDescent="0.25">
      <c r="Y83" s="75"/>
      <c r="Z83" s="197" t="s">
        <v>483</v>
      </c>
      <c r="AA83" s="514" t="str">
        <f>IF($AD$21=1,Reglement!$H$88,"NEE")</f>
        <v>JA</v>
      </c>
      <c r="AB83" s="75"/>
      <c r="AC83" s="75"/>
      <c r="AD83" s="75"/>
      <c r="AE83" s="89"/>
      <c r="AF83" s="89"/>
      <c r="AG83" s="89"/>
      <c r="AH83" s="64"/>
      <c r="AI83" s="64"/>
      <c r="AJ83" s="614" t="str">
        <f ca="1">AJ10</f>
        <v>Groep A</v>
      </c>
      <c r="AK83" s="612">
        <f t="shared" ref="AK83:AK90" ca="1" si="41">FIND(RIGHT($AJ83,1),$AZ$82)</f>
        <v>7</v>
      </c>
      <c r="AL83" s="612">
        <f t="shared" ref="AL83:AN90" ca="1" si="42">FIND(RIGHT($AJ83,1),$AZ$82,AK83+1)</f>
        <v>15</v>
      </c>
      <c r="AM83" s="612">
        <f t="shared" ca="1" si="42"/>
        <v>33</v>
      </c>
      <c r="AN83" s="612">
        <f t="shared" ca="1" si="42"/>
        <v>47</v>
      </c>
      <c r="AO83" s="64"/>
      <c r="AP83" s="406" t="str">
        <f ca="1">RIGHT(LEFT($AZ$82,AK83+1),2)</f>
        <v>A1</v>
      </c>
      <c r="AQ83" s="406" t="str">
        <f ca="1">RIGHT(LEFT($AZ$82,AL83+1),2)</f>
        <v>A3</v>
      </c>
      <c r="AR83" s="406" t="str">
        <f ca="1">RIGHT(LEFT($AZ$82,AM83+1),2)</f>
        <v>A2</v>
      </c>
      <c r="AS83" s="406" t="str">
        <f ca="1">RIGHT(LEFT($AZ$82,AN83+1),2)</f>
        <v>A4</v>
      </c>
      <c r="AT83" s="232"/>
      <c r="AU83" s="263">
        <f ca="1">IF($AP83=RIGHT($AJ83,1)&amp;"1",1,IF($AQ83=RIGHT($AJ83,1)&amp;"1",2,IF($AR83=RIGHT($AJ83,1)&amp;"1",3,IF($AS83=RIGHT($AJ83,1)&amp;"1",4,5))))</f>
        <v>1</v>
      </c>
      <c r="AV83" s="263">
        <f ca="1">IF($AP83=RIGHT($AJ83,1)&amp;"2",1,IF($AQ83=RIGHT($AJ83,1)&amp;"2",2,IF($AR83=RIGHT($AJ83,1)&amp;"2",3,IF($AS83=RIGHT($AJ83,1)&amp;"2",4,5))))</f>
        <v>3</v>
      </c>
      <c r="AW83" s="263">
        <f ca="1">IF($AP83=RIGHT($AJ83,1)&amp;"3",1,IF($AQ83=RIGHT($AJ83,1)&amp;"3",2,IF($AR83=RIGHT($AJ83,1)&amp;"3",3,IF($AS83=RIGHT($AJ83,1)&amp;"3",4,5))))</f>
        <v>2</v>
      </c>
      <c r="AX83" s="263">
        <f ca="1">IF($AP83=RIGHT($AJ83,1)&amp;"4",1,IF($AQ83=RIGHT($AJ83,1)&amp;"4",2,IF($AR83=RIGHT($AJ83,1)&amp;"4",3,IF($AS83=RIGHT($AJ83,1)&amp;"4",4,5))))</f>
        <v>4</v>
      </c>
      <c r="AY83" s="232"/>
      <c r="AZ83" s="232"/>
      <c r="BA83" s="232"/>
    </row>
    <row r="84" spans="3:53" x14ac:dyDescent="0.25">
      <c r="Y84" s="75"/>
      <c r="Z84" s="197" t="s">
        <v>482</v>
      </c>
      <c r="AA84" s="510" t="str">
        <f>TRIM(P6)</f>
        <v>e.martens@bisbee.nl</v>
      </c>
      <c r="AB84" s="511"/>
      <c r="AC84" s="511"/>
      <c r="AD84" s="511"/>
      <c r="AE84" s="511"/>
      <c r="AF84" s="511"/>
      <c r="AG84" s="511"/>
      <c r="AH84" s="64"/>
      <c r="AI84" s="64"/>
      <c r="AJ84" s="614" t="str">
        <f ca="1">AJ19</f>
        <v>Groep B</v>
      </c>
      <c r="AK84" s="612">
        <f t="shared" ca="1" si="41"/>
        <v>1</v>
      </c>
      <c r="AL84" s="612">
        <f t="shared" ca="1" si="42"/>
        <v>17</v>
      </c>
      <c r="AM84" s="612">
        <f t="shared" ca="1" si="42"/>
        <v>19</v>
      </c>
      <c r="AN84" s="612">
        <f t="shared" ca="1" si="42"/>
        <v>41</v>
      </c>
      <c r="AO84" s="64"/>
      <c r="AP84" s="406" t="str">
        <f t="shared" ref="AP84:AP90" ca="1" si="43">RIGHT(LEFT($AZ$82,AK84+1),2)</f>
        <v>B4</v>
      </c>
      <c r="AQ84" s="406" t="str">
        <f t="shared" ref="AQ84:AQ90" ca="1" si="44">RIGHT(LEFT($AZ$82,AL84+1),2)</f>
        <v>B3</v>
      </c>
      <c r="AR84" s="406" t="str">
        <f t="shared" ref="AR84:AR90" ca="1" si="45">RIGHT(LEFT($AZ$82,AM84+1),2)</f>
        <v>B2</v>
      </c>
      <c r="AS84" s="406" t="str">
        <f t="shared" ref="AS84:AS90" ca="1" si="46">RIGHT(LEFT($AZ$82,AN84+1),2)</f>
        <v>B1</v>
      </c>
      <c r="AT84" s="232"/>
      <c r="AU84" s="263">
        <f t="shared" ref="AU84:AU90" ca="1" si="47">IF($AP84=RIGHT($AJ84,1)&amp;"1",1,IF($AQ84=RIGHT($AJ84,1)&amp;"1",2,IF($AR84=RIGHT($AJ84,1)&amp;"1",3,IF($AS84=RIGHT($AJ84,1)&amp;"1",4,5))))</f>
        <v>4</v>
      </c>
      <c r="AV84" s="263">
        <f t="shared" ref="AV84:AV90" ca="1" si="48">IF($AP84=RIGHT($AJ84,1)&amp;"2",1,IF($AQ84=RIGHT($AJ84,1)&amp;"2",2,IF($AR84=RIGHT($AJ84,1)&amp;"2",3,IF($AS84=RIGHT($AJ84,1)&amp;"2",4,5))))</f>
        <v>3</v>
      </c>
      <c r="AW84" s="263">
        <f t="shared" ref="AW84:AW90" ca="1" si="49">IF($AP84=RIGHT($AJ84,1)&amp;"3",1,IF($AQ84=RIGHT($AJ84,1)&amp;"3",2,IF($AR84=RIGHT($AJ84,1)&amp;"3",3,IF($AS84=RIGHT($AJ84,1)&amp;"3",4,5))))</f>
        <v>2</v>
      </c>
      <c r="AX84" s="263">
        <f t="shared" ref="AX84:AX90" ca="1" si="50">IF($AP84=RIGHT($AJ84,1)&amp;"4",1,IF($AQ84=RIGHT($AJ84,1)&amp;"4",2,IF($AR84=RIGHT($AJ84,1)&amp;"4",3,IF($AS84=RIGHT($AJ84,1)&amp;"4",4,5))))</f>
        <v>1</v>
      </c>
      <c r="AY84" s="232"/>
      <c r="AZ84" s="232"/>
      <c r="BA84" s="232"/>
    </row>
    <row r="85" spans="3:53" x14ac:dyDescent="0.25">
      <c r="Y85" s="75"/>
      <c r="Z85" s="197" t="s">
        <v>484</v>
      </c>
      <c r="AA85" s="198" t="s">
        <v>193</v>
      </c>
      <c r="AB85" s="198" t="s">
        <v>476</v>
      </c>
      <c r="AC85" s="198" t="s">
        <v>477</v>
      </c>
      <c r="AD85" s="198" t="s">
        <v>478</v>
      </c>
      <c r="AE85" s="89"/>
      <c r="AF85" s="89"/>
      <c r="AG85" s="89"/>
      <c r="AH85" s="64"/>
      <c r="AI85" s="64"/>
      <c r="AJ85" s="614" t="str">
        <f ca="1">AJ28</f>
        <v>Groep C</v>
      </c>
      <c r="AK85" s="612">
        <f t="shared" ca="1" si="41"/>
        <v>5</v>
      </c>
      <c r="AL85" s="612">
        <f t="shared" ca="1" si="42"/>
        <v>9</v>
      </c>
      <c r="AM85" s="612">
        <f t="shared" ca="1" si="42"/>
        <v>35</v>
      </c>
      <c r="AN85" s="612">
        <f t="shared" ca="1" si="42"/>
        <v>37</v>
      </c>
      <c r="AO85" s="64"/>
      <c r="AP85" s="406" t="str">
        <f t="shared" ca="1" si="43"/>
        <v>C2</v>
      </c>
      <c r="AQ85" s="406" t="str">
        <f t="shared" ca="1" si="44"/>
        <v>C4</v>
      </c>
      <c r="AR85" s="406" t="str">
        <f t="shared" ca="1" si="45"/>
        <v>C3</v>
      </c>
      <c r="AS85" s="406" t="str">
        <f t="shared" ca="1" si="46"/>
        <v>C1</v>
      </c>
      <c r="AT85" s="232"/>
      <c r="AU85" s="263">
        <f t="shared" ca="1" si="47"/>
        <v>4</v>
      </c>
      <c r="AV85" s="263">
        <f t="shared" ca="1" si="48"/>
        <v>1</v>
      </c>
      <c r="AW85" s="263">
        <f t="shared" ca="1" si="49"/>
        <v>3</v>
      </c>
      <c r="AX85" s="263">
        <f t="shared" ca="1" si="50"/>
        <v>2</v>
      </c>
      <c r="AY85" s="232"/>
      <c r="AZ85" s="232"/>
      <c r="BA85" s="232"/>
    </row>
    <row r="86" spans="3:53" x14ac:dyDescent="0.25">
      <c r="Y86" s="75"/>
      <c r="Z86" s="197" t="s">
        <v>485</v>
      </c>
      <c r="AA86" s="512" t="str">
        <f>IF(ISBLANK($AA$84),"LEEG",IF(LEN($AA$84)&lt;=64,"GOED","FOUT"))</f>
        <v>GOED</v>
      </c>
      <c r="AB86" s="512" t="str">
        <f>IF(ISBLANK($AA$84),"LEEG",IF(LEN($AA$84)=LEN(SUBSTITUTE($AA$84," ","controle")),"GOED","FOUT"))</f>
        <v>GOED</v>
      </c>
      <c r="AC86" s="512" t="str">
        <f>IF(ISBLANK($AA$84),"LEEG",IF(AND(LEN($AA$84)&lt;&gt;LEN(SUBSTITUTE($AA$84,"@","controle")),LEN($AA$84)+7=LEN(SUBSTITUTE($AA$84,"@","controle"))),"GOED","FOUT"))</f>
        <v>GOED</v>
      </c>
      <c r="AD86" s="512" t="str">
        <f>IF(ISBLANK($AA$84),"LEEG",IF($AC$87="nvt","nvt",IF(LEN($AD$87)&lt;&gt;LEN(SUBSTITUTE($AD$87,".","controle")),"GOED","FOUT")))</f>
        <v>GOED</v>
      </c>
      <c r="AE86" s="89" t="s">
        <v>322</v>
      </c>
      <c r="AF86" s="89"/>
      <c r="AG86" s="89"/>
      <c r="AH86" s="64"/>
      <c r="AI86" s="64"/>
      <c r="AJ86" s="614" t="str">
        <f ca="1">AJ37</f>
        <v>Groep D</v>
      </c>
      <c r="AK86" s="612">
        <f t="shared" ca="1" si="41"/>
        <v>11</v>
      </c>
      <c r="AL86" s="612">
        <f t="shared" ca="1" si="42"/>
        <v>21</v>
      </c>
      <c r="AM86" s="612">
        <f t="shared" ca="1" si="42"/>
        <v>25</v>
      </c>
      <c r="AN86" s="612">
        <f t="shared" ca="1" si="42"/>
        <v>27</v>
      </c>
      <c r="AO86" s="64"/>
      <c r="AP86" s="406" t="str">
        <f t="shared" ca="1" si="43"/>
        <v>D4</v>
      </c>
      <c r="AQ86" s="406" t="str">
        <f t="shared" ca="1" si="44"/>
        <v>D2</v>
      </c>
      <c r="AR86" s="406" t="str">
        <f t="shared" ca="1" si="45"/>
        <v>D3</v>
      </c>
      <c r="AS86" s="406" t="str">
        <f t="shared" ca="1" si="46"/>
        <v>D1</v>
      </c>
      <c r="AT86" s="232"/>
      <c r="AU86" s="263">
        <f t="shared" ca="1" si="47"/>
        <v>4</v>
      </c>
      <c r="AV86" s="263">
        <f t="shared" ca="1" si="48"/>
        <v>2</v>
      </c>
      <c r="AW86" s="263">
        <f t="shared" ca="1" si="49"/>
        <v>3</v>
      </c>
      <c r="AX86" s="263">
        <f t="shared" ca="1" si="50"/>
        <v>1</v>
      </c>
      <c r="AY86" s="232"/>
      <c r="AZ86" s="232"/>
      <c r="BA86" s="232"/>
    </row>
    <row r="87" spans="3:53" x14ac:dyDescent="0.25">
      <c r="Y87" s="75"/>
      <c r="Z87" s="197" t="s">
        <v>479</v>
      </c>
      <c r="AA87" s="198">
        <f>IF(LEN(AA84)&lt;10,LEN(AA84)&amp;"#",LEN(AA84))</f>
        <v>19</v>
      </c>
      <c r="AB87" s="198"/>
      <c r="AC87" s="513">
        <f>IF(AC86="GOED",SEARCH("@",$AA$84),"nvt")</f>
        <v>10</v>
      </c>
      <c r="AD87" s="513" t="str">
        <f>IF(AC87="nvt","nvt",RIGHT(AA84,LEN(AA84)-AC87))</f>
        <v>bisbee.nl</v>
      </c>
      <c r="AE87" s="89" t="s">
        <v>322</v>
      </c>
      <c r="AF87" s="89"/>
      <c r="AG87" s="89"/>
      <c r="AH87" s="64"/>
      <c r="AI87" s="64"/>
      <c r="AJ87" s="614" t="str">
        <f ca="1">AJ46</f>
        <v>Groep E</v>
      </c>
      <c r="AK87" s="612">
        <f t="shared" ca="1" si="41"/>
        <v>3</v>
      </c>
      <c r="AL87" s="612">
        <f t="shared" ca="1" si="42"/>
        <v>23</v>
      </c>
      <c r="AM87" s="612">
        <f t="shared" ca="1" si="42"/>
        <v>31</v>
      </c>
      <c r="AN87" s="612">
        <f t="shared" ca="1" si="42"/>
        <v>39</v>
      </c>
      <c r="AO87" s="64"/>
      <c r="AP87" s="406" t="str">
        <f t="shared" ca="1" si="43"/>
        <v>E1</v>
      </c>
      <c r="AQ87" s="406" t="str">
        <f t="shared" ca="1" si="44"/>
        <v>E4</v>
      </c>
      <c r="AR87" s="406" t="str">
        <f t="shared" ca="1" si="45"/>
        <v>E3</v>
      </c>
      <c r="AS87" s="406" t="str">
        <f t="shared" ca="1" si="46"/>
        <v>E2</v>
      </c>
      <c r="AT87" s="232"/>
      <c r="AU87" s="263">
        <f t="shared" ca="1" si="47"/>
        <v>1</v>
      </c>
      <c r="AV87" s="263">
        <f t="shared" ca="1" si="48"/>
        <v>4</v>
      </c>
      <c r="AW87" s="263">
        <f t="shared" ca="1" si="49"/>
        <v>3</v>
      </c>
      <c r="AX87" s="263">
        <f t="shared" ca="1" si="50"/>
        <v>2</v>
      </c>
      <c r="AY87" s="232"/>
      <c r="AZ87" s="232"/>
      <c r="BA87" s="232"/>
    </row>
    <row r="88" spans="3:53" x14ac:dyDescent="0.25">
      <c r="Y88" s="89"/>
      <c r="Z88" s="197" t="s">
        <v>480</v>
      </c>
      <c r="AA88" s="1111" t="str">
        <f>"|"&amp;AA84&amp;AA87</f>
        <v>|e.martens@bisbee.nl19</v>
      </c>
      <c r="AB88" s="1112"/>
      <c r="AC88" s="1112"/>
      <c r="AD88" s="1112"/>
      <c r="AE88" s="1113"/>
      <c r="AF88" s="89"/>
      <c r="AG88" s="89"/>
      <c r="AH88" s="64"/>
      <c r="AI88" s="64"/>
      <c r="AJ88" s="614" t="str">
        <f ca="1">AJ55</f>
        <v>Groep F</v>
      </c>
      <c r="AK88" s="612">
        <f t="shared" ca="1" si="41"/>
        <v>13</v>
      </c>
      <c r="AL88" s="612">
        <f t="shared" ca="1" si="42"/>
        <v>29</v>
      </c>
      <c r="AM88" s="612">
        <f t="shared" ca="1" si="42"/>
        <v>43</v>
      </c>
      <c r="AN88" s="612">
        <f t="shared" ca="1" si="42"/>
        <v>45</v>
      </c>
      <c r="AO88" s="64"/>
      <c r="AP88" s="406" t="str">
        <f t="shared" ca="1" si="43"/>
        <v>F2</v>
      </c>
      <c r="AQ88" s="406" t="str">
        <f t="shared" ca="1" si="44"/>
        <v>F3</v>
      </c>
      <c r="AR88" s="406" t="str">
        <f t="shared" ca="1" si="45"/>
        <v>F4</v>
      </c>
      <c r="AS88" s="406" t="str">
        <f t="shared" ca="1" si="46"/>
        <v>F1</v>
      </c>
      <c r="AT88" s="232"/>
      <c r="AU88" s="263">
        <f t="shared" ca="1" si="47"/>
        <v>4</v>
      </c>
      <c r="AV88" s="263">
        <f t="shared" ca="1" si="48"/>
        <v>1</v>
      </c>
      <c r="AW88" s="263">
        <f t="shared" ca="1" si="49"/>
        <v>2</v>
      </c>
      <c r="AX88" s="263">
        <f t="shared" ca="1" si="50"/>
        <v>3</v>
      </c>
      <c r="AY88" s="232"/>
      <c r="AZ88" s="232"/>
      <c r="BA88" s="232"/>
    </row>
    <row r="89" spans="3:53" x14ac:dyDescent="0.25">
      <c r="Y89" s="75"/>
      <c r="Z89" s="197" t="s">
        <v>481</v>
      </c>
      <c r="AA89" s="514" t="str">
        <f>IF(ISBLANK($P$6)=TRUE,IF(AA83="NEE","OPTIE","LEEG"),IF(AND(AA86="GOED",AB86="GOED",AC86="GOED",AD86="GOED"),"GOED","FOUT"))</f>
        <v>GOED</v>
      </c>
      <c r="AB89" s="89"/>
      <c r="AC89" s="89"/>
      <c r="AD89" s="89"/>
      <c r="AE89" s="89"/>
      <c r="AF89" s="89"/>
      <c r="AG89" s="89"/>
      <c r="AH89" s="64"/>
      <c r="AI89" s="64"/>
      <c r="AJ89" s="614" t="str">
        <f ca="1">AJ64</f>
        <v>Groep G</v>
      </c>
      <c r="AK89" s="612">
        <f t="shared" ca="1" si="41"/>
        <v>49</v>
      </c>
      <c r="AL89" s="612">
        <f t="shared" ca="1" si="42"/>
        <v>51</v>
      </c>
      <c r="AM89" s="612">
        <f t="shared" ca="1" si="42"/>
        <v>53</v>
      </c>
      <c r="AN89" s="612">
        <f t="shared" ca="1" si="42"/>
        <v>55</v>
      </c>
      <c r="AO89" s="64"/>
      <c r="AP89" s="406" t="str">
        <f t="shared" ca="1" si="43"/>
        <v>G1</v>
      </c>
      <c r="AQ89" s="406" t="str">
        <f t="shared" ca="1" si="44"/>
        <v>G2</v>
      </c>
      <c r="AR89" s="406" t="str">
        <f t="shared" ca="1" si="45"/>
        <v>G3</v>
      </c>
      <c r="AS89" s="406" t="str">
        <f t="shared" ca="1" si="46"/>
        <v>G4</v>
      </c>
      <c r="AT89" s="232"/>
      <c r="AU89" s="263">
        <f t="shared" ca="1" si="47"/>
        <v>1</v>
      </c>
      <c r="AV89" s="263">
        <f t="shared" ca="1" si="48"/>
        <v>2</v>
      </c>
      <c r="AW89" s="263">
        <f t="shared" ca="1" si="49"/>
        <v>3</v>
      </c>
      <c r="AX89" s="263">
        <f t="shared" ca="1" si="50"/>
        <v>4</v>
      </c>
      <c r="AY89" s="232"/>
      <c r="AZ89" s="232"/>
      <c r="BA89" s="232"/>
    </row>
    <row r="90" spans="3:53" x14ac:dyDescent="0.25">
      <c r="Y90" s="75"/>
      <c r="Z90" s="197"/>
      <c r="AA90" s="75"/>
      <c r="AB90" s="75"/>
      <c r="AC90" s="75"/>
      <c r="AD90" s="75"/>
      <c r="AE90" s="89"/>
      <c r="AF90" s="89"/>
      <c r="AG90" s="89"/>
      <c r="AH90" s="64"/>
      <c r="AI90" s="64"/>
      <c r="AJ90" s="614" t="str">
        <f ca="1">AJ73</f>
        <v>Groep H</v>
      </c>
      <c r="AK90" s="612">
        <f t="shared" ca="1" si="41"/>
        <v>57</v>
      </c>
      <c r="AL90" s="612">
        <f t="shared" ca="1" si="42"/>
        <v>59</v>
      </c>
      <c r="AM90" s="612">
        <f t="shared" ca="1" si="42"/>
        <v>61</v>
      </c>
      <c r="AN90" s="612">
        <f t="shared" ca="1" si="42"/>
        <v>63</v>
      </c>
      <c r="AO90" s="64"/>
      <c r="AP90" s="406" t="str">
        <f t="shared" ca="1" si="43"/>
        <v>H1</v>
      </c>
      <c r="AQ90" s="406" t="str">
        <f t="shared" ca="1" si="44"/>
        <v>H2</v>
      </c>
      <c r="AR90" s="406" t="str">
        <f t="shared" ca="1" si="45"/>
        <v>H3</v>
      </c>
      <c r="AS90" s="406" t="str">
        <f t="shared" ca="1" si="46"/>
        <v>H4</v>
      </c>
      <c r="AT90" s="232"/>
      <c r="AU90" s="263">
        <f t="shared" ca="1" si="47"/>
        <v>1</v>
      </c>
      <c r="AV90" s="263">
        <f t="shared" ca="1" si="48"/>
        <v>2</v>
      </c>
      <c r="AW90" s="263">
        <f t="shared" ca="1" si="49"/>
        <v>3</v>
      </c>
      <c r="AX90" s="263">
        <f t="shared" ca="1" si="50"/>
        <v>4</v>
      </c>
      <c r="AY90" s="232"/>
      <c r="AZ90" s="232"/>
      <c r="BA90" s="232"/>
    </row>
  </sheetData>
  <sheetProtection algorithmName="SHA-512" hashValue="1aLjnfgWWflWzaJCjHwZbtUBL9p8xxvxric5sXeKUIdgg+baNYZtQ8AzZfhl2BZNxaZpmhBvaKJvF5LYdePf4w==" saltValue="AwJPsQzXfTq0+dtMA8AH5A==" spinCount="100000" sheet="1" objects="1" scenarios="1" selectLockedCells="1"/>
  <dataConsolidate/>
  <mergeCells count="195">
    <mergeCell ref="AH81:AK82"/>
    <mergeCell ref="AZ62:AZ65"/>
    <mergeCell ref="BA62:BA65"/>
    <mergeCell ref="AS71:AS74"/>
    <mergeCell ref="AT71:AT74"/>
    <mergeCell ref="AU71:AU74"/>
    <mergeCell ref="AV71:AV74"/>
    <mergeCell ref="AW71:AW74"/>
    <mergeCell ref="AX71:AX74"/>
    <mergeCell ref="AY71:AY74"/>
    <mergeCell ref="AZ71:AZ74"/>
    <mergeCell ref="AS62:AS65"/>
    <mergeCell ref="AT62:AT65"/>
    <mergeCell ref="AU62:AU65"/>
    <mergeCell ref="AV62:AV65"/>
    <mergeCell ref="AW62:AW65"/>
    <mergeCell ref="AX62:AX65"/>
    <mergeCell ref="AY62:AY65"/>
    <mergeCell ref="BA71:BA74"/>
    <mergeCell ref="AN71:AN74"/>
    <mergeCell ref="AO71:AO74"/>
    <mergeCell ref="AK62:AK65"/>
    <mergeCell ref="AL62:AL65"/>
    <mergeCell ref="AM62:AM65"/>
    <mergeCell ref="AY44:AY47"/>
    <mergeCell ref="AX44:AX47"/>
    <mergeCell ref="AZ35:AZ38"/>
    <mergeCell ref="AY53:AY56"/>
    <mergeCell ref="AZ53:AZ56"/>
    <mergeCell ref="AZ44:AZ47"/>
    <mergeCell ref="BA44:BA47"/>
    <mergeCell ref="AU35:AU38"/>
    <mergeCell ref="AV35:AV38"/>
    <mergeCell ref="AW35:AW38"/>
    <mergeCell ref="AX35:AX38"/>
    <mergeCell ref="AY35:AY38"/>
    <mergeCell ref="BA35:BA38"/>
    <mergeCell ref="AV44:AV47"/>
    <mergeCell ref="AW44:AW47"/>
    <mergeCell ref="AS44:AS47"/>
    <mergeCell ref="AT44:AT47"/>
    <mergeCell ref="AU44:AU47"/>
    <mergeCell ref="AS35:AS38"/>
    <mergeCell ref="AT35:AT38"/>
    <mergeCell ref="BA53:BA56"/>
    <mergeCell ref="BA17:BA20"/>
    <mergeCell ref="AS26:AS29"/>
    <mergeCell ref="AT26:AT29"/>
    <mergeCell ref="AU26:AU29"/>
    <mergeCell ref="AV26:AV29"/>
    <mergeCell ref="AW26:AW29"/>
    <mergeCell ref="AX26:AX29"/>
    <mergeCell ref="AY26:AY29"/>
    <mergeCell ref="AZ26:AZ29"/>
    <mergeCell ref="BA26:BA29"/>
    <mergeCell ref="AS53:AS56"/>
    <mergeCell ref="AT53:AT56"/>
    <mergeCell ref="AU53:AU56"/>
    <mergeCell ref="AV53:AV56"/>
    <mergeCell ref="AW53:AW56"/>
    <mergeCell ref="AX53:AX56"/>
    <mergeCell ref="AS17:AS20"/>
    <mergeCell ref="AT17:AT20"/>
    <mergeCell ref="AO53:AO56"/>
    <mergeCell ref="AI43:AI47"/>
    <mergeCell ref="Y63:AG65"/>
    <mergeCell ref="AP71:AP74"/>
    <mergeCell ref="AQ71:AQ74"/>
    <mergeCell ref="AR71:AR74"/>
    <mergeCell ref="AN62:AN65"/>
    <mergeCell ref="AO62:AO65"/>
    <mergeCell ref="AP62:AP65"/>
    <mergeCell ref="AQ62:AQ65"/>
    <mergeCell ref="AR62:AR65"/>
    <mergeCell ref="AP53:AP56"/>
    <mergeCell ref="AQ53:AQ56"/>
    <mergeCell ref="AR53:AR56"/>
    <mergeCell ref="AN53:AN56"/>
    <mergeCell ref="AQ44:AQ47"/>
    <mergeCell ref="AR44:AR47"/>
    <mergeCell ref="AH71:AH74"/>
    <mergeCell ref="AI71:AI74"/>
    <mergeCell ref="AK71:AK74"/>
    <mergeCell ref="AL71:AL74"/>
    <mergeCell ref="AM71:AM74"/>
    <mergeCell ref="AH62:AH65"/>
    <mergeCell ref="AI62:AI65"/>
    <mergeCell ref="G54:I54"/>
    <mergeCell ref="J54:L54"/>
    <mergeCell ref="Q54:S54"/>
    <mergeCell ref="T54:V54"/>
    <mergeCell ref="AH53:AH56"/>
    <mergeCell ref="AI53:AI56"/>
    <mergeCell ref="AK53:AK56"/>
    <mergeCell ref="AL53:AL56"/>
    <mergeCell ref="AM53:AM56"/>
    <mergeCell ref="Y53:AA53"/>
    <mergeCell ref="AB53:AD53"/>
    <mergeCell ref="AP44:AP47"/>
    <mergeCell ref="AM44:AM47"/>
    <mergeCell ref="AN44:AN47"/>
    <mergeCell ref="AO44:AO47"/>
    <mergeCell ref="AH43:AH47"/>
    <mergeCell ref="AP35:AP38"/>
    <mergeCell ref="AQ35:AQ38"/>
    <mergeCell ref="AR35:AR38"/>
    <mergeCell ref="G34:I34"/>
    <mergeCell ref="J34:L34"/>
    <mergeCell ref="Q34:S34"/>
    <mergeCell ref="T34:V34"/>
    <mergeCell ref="AH35:AH38"/>
    <mergeCell ref="AI35:AI38"/>
    <mergeCell ref="AK35:AK38"/>
    <mergeCell ref="AL35:AL38"/>
    <mergeCell ref="AM35:AM38"/>
    <mergeCell ref="AN35:AN38"/>
    <mergeCell ref="Y43:AA43"/>
    <mergeCell ref="AB43:AD43"/>
    <mergeCell ref="AK44:AK47"/>
    <mergeCell ref="AL44:AL47"/>
    <mergeCell ref="AO35:AO38"/>
    <mergeCell ref="G44:I44"/>
    <mergeCell ref="J44:L44"/>
    <mergeCell ref="Q44:S44"/>
    <mergeCell ref="T44:V44"/>
    <mergeCell ref="G24:I24"/>
    <mergeCell ref="J24:L24"/>
    <mergeCell ref="Q24:S24"/>
    <mergeCell ref="T24:V24"/>
    <mergeCell ref="Y33:AA33"/>
    <mergeCell ref="AB33:AD33"/>
    <mergeCell ref="AN26:AN29"/>
    <mergeCell ref="BA8:BA11"/>
    <mergeCell ref="AO26:AO29"/>
    <mergeCell ref="AL26:AL29"/>
    <mergeCell ref="AU17:AU20"/>
    <mergeCell ref="AV17:AV20"/>
    <mergeCell ref="AW17:AW20"/>
    <mergeCell ref="AX17:AX20"/>
    <mergeCell ref="AY17:AY20"/>
    <mergeCell ref="AZ17:AZ20"/>
    <mergeCell ref="AU8:AU11"/>
    <mergeCell ref="AV8:AV11"/>
    <mergeCell ref="AW8:AW11"/>
    <mergeCell ref="AX8:AX11"/>
    <mergeCell ref="AY8:AY11"/>
    <mergeCell ref="AZ8:AZ11"/>
    <mergeCell ref="AK26:AK29"/>
    <mergeCell ref="AJ3:AY4"/>
    <mergeCell ref="D14:O16"/>
    <mergeCell ref="S15:V15"/>
    <mergeCell ref="S16:V16"/>
    <mergeCell ref="Y9:AD10"/>
    <mergeCell ref="AF9:AG9"/>
    <mergeCell ref="AF10:AG10"/>
    <mergeCell ref="AO8:AO11"/>
    <mergeCell ref="AK8:AK11"/>
    <mergeCell ref="AL8:AL11"/>
    <mergeCell ref="AM8:AM11"/>
    <mergeCell ref="Y2:Z3"/>
    <mergeCell ref="AA6:AE6"/>
    <mergeCell ref="D11:V12"/>
    <mergeCell ref="Y11:AD13"/>
    <mergeCell ref="AP8:AP11"/>
    <mergeCell ref="AQ8:AQ11"/>
    <mergeCell ref="AR8:AR11"/>
    <mergeCell ref="D6:E6"/>
    <mergeCell ref="F6:L6"/>
    <mergeCell ref="N6:O6"/>
    <mergeCell ref="P6:V6"/>
    <mergeCell ref="AM26:AM29"/>
    <mergeCell ref="BC2:BG4"/>
    <mergeCell ref="Y81:Z82"/>
    <mergeCell ref="AA88:AE88"/>
    <mergeCell ref="Y17:AD17"/>
    <mergeCell ref="AS8:AS11"/>
    <mergeCell ref="AT8:AT11"/>
    <mergeCell ref="AN8:AN11"/>
    <mergeCell ref="AP17:AP20"/>
    <mergeCell ref="AQ17:AQ20"/>
    <mergeCell ref="AR17:AR20"/>
    <mergeCell ref="AH17:AH20"/>
    <mergeCell ref="AI17:AI20"/>
    <mergeCell ref="AK17:AK20"/>
    <mergeCell ref="AL17:AL20"/>
    <mergeCell ref="AM17:AM20"/>
    <mergeCell ref="AN17:AN20"/>
    <mergeCell ref="AO17:AO20"/>
    <mergeCell ref="AP26:AP29"/>
    <mergeCell ref="AQ26:AQ29"/>
    <mergeCell ref="AR26:AR29"/>
    <mergeCell ref="Y23:AA23"/>
    <mergeCell ref="AB23:AD23"/>
    <mergeCell ref="AH26:AH29"/>
    <mergeCell ref="AI26:AI29"/>
  </mergeCells>
  <conditionalFormatting sqref="D3 V3 D9 D19 D72 V72">
    <cfRule type="expression" dxfId="71" priority="1">
      <formula>$A$1="A255255255"</formula>
    </cfRule>
    <cfRule type="expression" dxfId="70" priority="2">
      <formula>$A$1="A000000000"</formula>
    </cfRule>
  </conditionalFormatting>
  <conditionalFormatting sqref="D21">
    <cfRule type="expression" dxfId="69" priority="3">
      <formula>$AD$21=1</formula>
    </cfRule>
  </conditionalFormatting>
  <conditionalFormatting sqref="D6:L6">
    <cfRule type="expression" dxfId="68" priority="4">
      <formula>$AA$7="LANG"</formula>
    </cfRule>
    <cfRule type="expression" dxfId="67" priority="5">
      <formula>$AA$7="LEEG"</formula>
    </cfRule>
    <cfRule type="expression" dxfId="66" priority="6">
      <formula>$AA$7="GOED"</formula>
    </cfRule>
  </conditionalFormatting>
  <conditionalFormatting sqref="J25:J30 J35:J40 J45:J50 J55:J60">
    <cfRule type="expression" dxfId="65" priority="11">
      <formula>OR($Y25="HOOG",$Y25="ONGELDIG")</formula>
    </cfRule>
    <cfRule type="expression" dxfId="64" priority="12">
      <formula>$Y25="LEEG"</formula>
    </cfRule>
    <cfRule type="expression" dxfId="63" priority="13">
      <formula>$Y25="GOED"</formula>
    </cfRule>
  </conditionalFormatting>
  <conditionalFormatting sqref="L25:L30 L35:L40 L45:L50 L55:L60">
    <cfRule type="expression" dxfId="62" priority="14">
      <formula>OR($Z25="HOOG",$Z25="ONGELDIG")</formula>
    </cfRule>
    <cfRule type="expression" dxfId="61" priority="15">
      <formula>$Z25="LEEG"</formula>
    </cfRule>
    <cfRule type="expression" dxfId="60" priority="16">
      <formula>$Z25="GOED"</formula>
    </cfRule>
  </conditionalFormatting>
  <conditionalFormatting sqref="N6:V6">
    <cfRule type="expression" dxfId="59" priority="7">
      <formula>$AA$89="FOUT"</formula>
    </cfRule>
    <cfRule type="expression" dxfId="58" priority="8">
      <formula>$AA$89="LEEG"</formula>
    </cfRule>
    <cfRule type="expression" dxfId="57" priority="9">
      <formula>$AA$89="OPTIE"</formula>
    </cfRule>
    <cfRule type="expression" dxfId="56" priority="10">
      <formula>$AA$89="GOED"</formula>
    </cfRule>
  </conditionalFormatting>
  <conditionalFormatting sqref="T25:T30 T35:T40 T45:T50 T55:T60">
    <cfRule type="expression" dxfId="55" priority="17">
      <formula>OR($AB25="HOOG",$AB25="ONGELDIG")</formula>
    </cfRule>
    <cfRule type="expression" dxfId="54" priority="18">
      <formula>$AB25="LEEG"</formula>
    </cfRule>
    <cfRule type="expression" dxfId="53" priority="19">
      <formula>$AB25="GOED"</formula>
    </cfRule>
  </conditionalFormatting>
  <conditionalFormatting sqref="V25:V30 V35:V40 V45:V50 V55:V60">
    <cfRule type="expression" dxfId="52" priority="43">
      <formula>OR($AC25="HOOG",$AC25="ONGELDIG")</formula>
    </cfRule>
    <cfRule type="expression" dxfId="51" priority="44">
      <formula>$AC25="LEEG"</formula>
    </cfRule>
    <cfRule type="expression" dxfId="50" priority="45">
      <formula>$AC25="GOED"</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3">
    <tabColor rgb="FF0050A0"/>
  </sheetPr>
  <dimension ref="A1:AQ71"/>
  <sheetViews>
    <sheetView showRowColHeaders="0" zoomScaleNormal="100" workbookViewId="0">
      <selection activeCell="L42" sqref="L42"/>
    </sheetView>
  </sheetViews>
  <sheetFormatPr defaultColWidth="9.140625" defaultRowHeight="15" x14ac:dyDescent="0.25"/>
  <cols>
    <col min="1" max="4" width="2.7109375" style="44" customWidth="1"/>
    <col min="5" max="5" width="25.7109375" style="44" customWidth="1"/>
    <col min="6" max="6" width="2.7109375" style="44" customWidth="1"/>
    <col min="7" max="8" width="4.7109375" style="44" customWidth="1"/>
    <col min="9" max="9" width="9.28515625" style="44" customWidth="1"/>
    <col min="10" max="11" width="2.7109375" style="44" customWidth="1"/>
    <col min="12" max="12" width="25.7109375" style="44" customWidth="1"/>
    <col min="13" max="13" width="2.7109375" style="44" customWidth="1"/>
    <col min="14" max="15" width="4.7109375" style="44" customWidth="1"/>
    <col min="16" max="16" width="9.28515625" style="44" customWidth="1"/>
    <col min="17" max="18" width="2.7109375" style="44" customWidth="1"/>
    <col min="19" max="19" width="3.7109375" style="44" hidden="1" customWidth="1"/>
    <col min="20" max="20" width="18.7109375" style="44" hidden="1" customWidth="1"/>
    <col min="21" max="23" width="4.7109375" style="44" hidden="1" customWidth="1"/>
    <col min="24" max="24" width="20.7109375" style="44" hidden="1" customWidth="1"/>
    <col min="25" max="25" width="12.7109375" style="44" hidden="1" customWidth="1"/>
    <col min="26" max="26" width="12.7109375" style="47" hidden="1" customWidth="1"/>
    <col min="27" max="27" width="4.7109375" style="47" hidden="1" customWidth="1"/>
    <col min="28" max="29" width="20.7109375" style="47" hidden="1" customWidth="1"/>
    <col min="30" max="30" width="2.7109375" style="44" hidden="1" customWidth="1"/>
    <col min="31" max="31" width="14.7109375" style="47" hidden="1" customWidth="1"/>
    <col min="32" max="34" width="3.7109375" style="47" hidden="1" customWidth="1"/>
    <col min="35" max="35" width="18.7109375" style="217" hidden="1" customWidth="1"/>
    <col min="36" max="36" width="18.7109375" style="47" hidden="1" customWidth="1"/>
    <col min="37" max="37" width="4.7109375" style="44" customWidth="1"/>
    <col min="38" max="39" width="4.7109375" style="166" customWidth="1"/>
    <col min="40" max="40" width="18.7109375" style="166" customWidth="1"/>
    <col min="41" max="43" width="4.7109375" style="166" customWidth="1"/>
    <col min="44"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row>
    <row r="2" spans="1:43" ht="15" customHeight="1" x14ac:dyDescent="0.4">
      <c r="B2" s="17"/>
      <c r="C2" s="17"/>
      <c r="D2" s="17"/>
      <c r="E2" s="17"/>
      <c r="F2" s="17"/>
      <c r="G2" s="17"/>
      <c r="H2" s="17"/>
      <c r="I2" s="17"/>
      <c r="J2" s="17"/>
      <c r="K2" s="17"/>
      <c r="L2" s="17"/>
      <c r="M2" s="17"/>
      <c r="N2" s="17"/>
      <c r="O2" s="17"/>
      <c r="P2" s="17"/>
      <c r="Q2" s="17"/>
      <c r="R2" s="17"/>
      <c r="S2" s="332"/>
      <c r="T2" s="332"/>
      <c r="U2" s="332"/>
      <c r="V2" s="332"/>
      <c r="W2" s="332"/>
      <c r="X2" s="332"/>
      <c r="Y2" s="332"/>
      <c r="Z2" s="332"/>
      <c r="AA2" s="1163" t="s">
        <v>276</v>
      </c>
      <c r="AB2" s="1163"/>
      <c r="AC2" s="1163"/>
      <c r="AD2" s="1164" t="s">
        <v>277</v>
      </c>
      <c r="AE2" s="1164"/>
      <c r="AF2" s="1164"/>
      <c r="AG2" s="1164"/>
      <c r="AH2" s="1164"/>
      <c r="AI2" s="1164"/>
      <c r="AJ2" s="1162" t="s">
        <v>278</v>
      </c>
      <c r="AL2" s="1033" t="str">
        <f ca="1">Taal01!$B$40</f>
        <v>Eindstand Groep</v>
      </c>
      <c r="AM2" s="1033"/>
      <c r="AN2" s="1033"/>
      <c r="AO2" s="1033"/>
      <c r="AP2" s="1033"/>
    </row>
    <row r="3" spans="1:43" ht="15" customHeight="1" x14ac:dyDescent="0.4">
      <c r="B3" s="17"/>
      <c r="C3" s="974"/>
      <c r="D3" s="988" t="str">
        <f ca="1">Taal04!B7&amp;" - "&amp;Taal04!B9</f>
        <v>Excel Deelname Formulier - Eindstand Groep</v>
      </c>
      <c r="E3" s="976"/>
      <c r="F3" s="976"/>
      <c r="G3" s="976"/>
      <c r="H3" s="976"/>
      <c r="I3" s="976"/>
      <c r="J3" s="976"/>
      <c r="K3" s="976"/>
      <c r="L3" s="976"/>
      <c r="M3" s="976"/>
      <c r="N3" s="976"/>
      <c r="O3" s="976"/>
      <c r="P3" s="984" t="str">
        <f ca="1">IF(Reglement!M3="","",Reglement!M3)</f>
        <v>EURO 2024: Jamilo EK-pool</v>
      </c>
      <c r="Q3" s="978"/>
      <c r="R3" s="17"/>
      <c r="S3" s="331"/>
      <c r="T3" s="331" t="s">
        <v>299</v>
      </c>
      <c r="U3" s="332"/>
      <c r="V3" s="332"/>
      <c r="W3" s="332"/>
      <c r="X3" s="332"/>
      <c r="Y3" s="109">
        <f>Reglement!Q81</f>
        <v>1</v>
      </c>
      <c r="Z3" s="332"/>
      <c r="AA3" s="1163"/>
      <c r="AB3" s="1163"/>
      <c r="AC3" s="1163"/>
      <c r="AD3" s="1164"/>
      <c r="AE3" s="1164"/>
      <c r="AF3" s="1164"/>
      <c r="AG3" s="1164"/>
      <c r="AH3" s="1164"/>
      <c r="AI3" s="1164"/>
      <c r="AJ3" s="1162"/>
      <c r="AL3" s="1033"/>
      <c r="AM3" s="1033"/>
      <c r="AN3" s="1033"/>
      <c r="AO3" s="1033"/>
      <c r="AP3" s="1033"/>
    </row>
    <row r="4" spans="1:43" ht="15" customHeight="1" x14ac:dyDescent="0.25">
      <c r="B4" s="17"/>
      <c r="C4" s="17"/>
      <c r="D4" s="17"/>
      <c r="E4" s="17"/>
      <c r="F4" s="17"/>
      <c r="G4" s="17"/>
      <c r="H4" s="17"/>
      <c r="I4" s="17"/>
      <c r="J4" s="17"/>
      <c r="K4" s="17"/>
      <c r="L4" s="17"/>
      <c r="M4" s="17"/>
      <c r="N4" s="17"/>
      <c r="O4" s="17"/>
      <c r="P4" s="17"/>
      <c r="Q4" s="17"/>
      <c r="R4" s="17"/>
      <c r="S4" s="1189" t="s">
        <v>227</v>
      </c>
      <c r="T4" s="1189"/>
      <c r="U4" s="1189"/>
      <c r="V4" s="1189"/>
      <c r="W4" s="586"/>
      <c r="X4" s="89"/>
      <c r="Y4" s="89"/>
      <c r="Z4" s="89"/>
      <c r="AA4" s="266"/>
      <c r="AB4" s="266"/>
      <c r="AC4" s="266"/>
      <c r="AD4" s="143"/>
      <c r="AE4" s="143"/>
      <c r="AF4" s="143"/>
      <c r="AG4" s="143"/>
      <c r="AH4" s="143"/>
      <c r="AI4" s="143"/>
      <c r="AJ4" s="1162"/>
      <c r="AL4" s="1033"/>
      <c r="AM4" s="1033"/>
      <c r="AN4" s="1033"/>
      <c r="AO4" s="1033"/>
      <c r="AP4" s="1033"/>
    </row>
    <row r="5" spans="1:43" ht="15" customHeight="1" x14ac:dyDescent="0.25">
      <c r="B5" s="17"/>
      <c r="C5" s="974"/>
      <c r="D5" s="989" t="str">
        <f ca="1">Taal04!B53</f>
        <v>Eindstand Groep A t/m F</v>
      </c>
      <c r="E5" s="976"/>
      <c r="F5" s="976"/>
      <c r="G5" s="976"/>
      <c r="H5" s="976"/>
      <c r="I5" s="976"/>
      <c r="J5" s="976"/>
      <c r="K5" s="976"/>
      <c r="L5" s="976"/>
      <c r="M5" s="976"/>
      <c r="N5" s="976"/>
      <c r="O5" s="976"/>
      <c r="P5" s="976"/>
      <c r="Q5" s="978"/>
      <c r="R5" s="17"/>
      <c r="S5" s="1189"/>
      <c r="T5" s="1189"/>
      <c r="U5" s="1189"/>
      <c r="V5" s="1189"/>
      <c r="W5" s="586"/>
      <c r="X5" s="833" t="s">
        <v>2399</v>
      </c>
      <c r="Y5" s="834" t="str">
        <f ca="1">IF(AND(Y18&lt;&gt;1,Y19="GOED"),LOOKUP(Y18,S16:S19,V16:V19),"")</f>
        <v>A4</v>
      </c>
      <c r="Z5" s="834" t="str">
        <f ca="1">IF(AND(Z18&lt;&gt;1,Z19="GOED"),LOOKUP(Z18,S21:S24,V21:V24),"")</f>
        <v>B2</v>
      </c>
      <c r="AA5" s="266" t="s">
        <v>100</v>
      </c>
      <c r="AB5" s="269"/>
      <c r="AC5" s="266"/>
      <c r="AD5" s="1167" t="s">
        <v>378</v>
      </c>
      <c r="AE5" s="1167"/>
      <c r="AF5" s="1167"/>
      <c r="AG5" s="1167"/>
      <c r="AH5" s="1167"/>
      <c r="AI5" s="1167"/>
      <c r="AJ5" s="1162"/>
    </row>
    <row r="6" spans="1:43" ht="15" customHeight="1" x14ac:dyDescent="0.25">
      <c r="B6" s="17"/>
      <c r="C6" s="947"/>
      <c r="D6" s="16"/>
      <c r="E6" s="16"/>
      <c r="F6" s="16"/>
      <c r="G6" s="16"/>
      <c r="H6" s="16"/>
      <c r="I6" s="16"/>
      <c r="J6" s="16"/>
      <c r="K6" s="16"/>
      <c r="L6" s="16"/>
      <c r="M6" s="16"/>
      <c r="N6" s="16"/>
      <c r="O6" s="16"/>
      <c r="P6" s="16"/>
      <c r="Q6" s="948"/>
      <c r="R6" s="17"/>
      <c r="S6" s="1189"/>
      <c r="T6" s="1189"/>
      <c r="U6" s="1189"/>
      <c r="V6" s="1189"/>
      <c r="W6" s="586"/>
      <c r="X6" s="833" t="str">
        <f>"wedstrijd "&amp;RIGHT(X5,2)*1-1</f>
        <v>wedstrijd 37</v>
      </c>
      <c r="Y6" s="834" t="str">
        <f ca="1">IF(AND(Y16&lt;&gt;1,Y17="GOED"),LOOKUP(Y16,S16:S19,V16:V19),"")</f>
        <v>A1</v>
      </c>
      <c r="Z6" s="834" t="str">
        <f ca="1">IF(AND(Y28&lt;&gt;1,Y29="GOED"),LOOKUP(Y28,S26:S29,V26:V29),"")</f>
        <v>C2</v>
      </c>
      <c r="AA6" s="266" t="s">
        <v>1871</v>
      </c>
      <c r="AB6" s="269" t="s">
        <v>274</v>
      </c>
      <c r="AC6" s="266"/>
      <c r="AD6" s="143"/>
      <c r="AE6" s="143" t="s">
        <v>9</v>
      </c>
      <c r="AF6" s="143" t="str">
        <f>IF($AC$7=1,IF(COUNTIF(Groepswedstrijden!$Y$25:$Z$30,"GOED")=12,"JA","NEE"),IF($AC$11=1,IF(COUNTIF(#REF!,"GOED")=6,"JA","NEE"),"n.v.t."))</f>
        <v>JA</v>
      </c>
      <c r="AG6" s="143"/>
      <c r="AH6" s="143" t="str">
        <f>IF($AC$7=1,IF(COUNTIF(Groepswedstrijden!$AB$25:$AC$30,"GOED")=12,"JA","NEE"),IF($AC$11=1,IF(COUNTIF(#REF!,"GOED")=6,"JA","NEE"),"n.v.t."))</f>
        <v>JA</v>
      </c>
      <c r="AI6" s="143" t="s">
        <v>14</v>
      </c>
      <c r="AJ6" s="328"/>
    </row>
    <row r="7" spans="1:43" ht="15" customHeight="1" x14ac:dyDescent="0.25">
      <c r="B7" s="17"/>
      <c r="C7" s="949"/>
      <c r="D7" s="333" t="str">
        <f ca="1">IF($Y$3=1,Taal04!B54,Voorblad!C15)</f>
        <v>Voorspel de eindstand van de verschillende groepen en vul deze in op dit blad.</v>
      </c>
      <c r="E7" s="17"/>
      <c r="F7" s="17"/>
      <c r="G7" s="17"/>
      <c r="H7" s="17"/>
      <c r="I7" s="17"/>
      <c r="J7" s="17"/>
      <c r="K7" s="17"/>
      <c r="L7" s="17"/>
      <c r="M7" s="17"/>
      <c r="N7" s="17"/>
      <c r="O7" s="17"/>
      <c r="P7" s="17"/>
      <c r="Q7" s="60"/>
      <c r="R7" s="17"/>
      <c r="S7" s="1189"/>
      <c r="T7" s="1189"/>
      <c r="U7" s="1189"/>
      <c r="V7" s="1189"/>
      <c r="W7" s="586"/>
      <c r="X7" s="833" t="str">
        <f>"wedstrijd "&amp;RIGHT(X6,2)*1+3</f>
        <v>wedstrijd 40</v>
      </c>
      <c r="Y7" s="834" t="str">
        <f ca="1">IF(AND(Y26&lt;&gt;1,Y27="GOED"),LOOKUP(Y26,S26:S29,V26:V29),"")</f>
        <v>C4</v>
      </c>
      <c r="Z7" s="834" t="str">
        <f ca="1">IF(AND(Z30&lt;&gt;1,Z31="GOED"),LOOKUP(Z30,S31:S34,V31:V34),"")&amp;IF(AND(Y40&lt;&gt;1,Y41="GOED"),LOOKUP(Y40,S36:S39,V36:V39),"")&amp;IF(AND(Z40&lt;&gt;1,Z41="GOED"),LOOKUP(Z40,S41:S44,V41:V44),"")</f>
        <v>D3E2F4</v>
      </c>
      <c r="AA7" s="266" t="s">
        <v>1872</v>
      </c>
      <c r="AB7" s="268" t="str">
        <f>Groepswedstrijden!V72</f>
        <v>©2024 Eric de Jong v24.00dh</v>
      </c>
      <c r="AC7" s="266">
        <f>IF(TYPE(AB7)=2,1,0)</f>
        <v>1</v>
      </c>
      <c r="AD7" s="143"/>
      <c r="AE7" s="143" t="s">
        <v>22</v>
      </c>
      <c r="AF7" s="143" t="str">
        <f>IF($AC$7=1,IF(COUNTIF(Groepswedstrijden!$Y$35:$Z$40,"GOED")=12,"JA","NEE"),IF($AC$11=1,IF(COUNTIF(#REF!,"GOED")=6,"JA","NEE"),"n.v.t."))</f>
        <v>JA</v>
      </c>
      <c r="AG7" s="143"/>
      <c r="AH7" s="143" t="str">
        <f>IF($AC$7=1,IF(COUNTIF(Groepswedstrijden!$AB$35:$AC$40,"GOED")=12,"JA","NEE"),IF($AC$11=1,IF(COUNTIF(#REF!,"GOED")=6,"JA","NEE"),"n.v.t."))</f>
        <v>JA</v>
      </c>
      <c r="AI7" s="143" t="s">
        <v>23</v>
      </c>
      <c r="AJ7" s="328"/>
    </row>
    <row r="8" spans="1:43" ht="15" customHeight="1" x14ac:dyDescent="0.25">
      <c r="B8" s="17"/>
      <c r="C8" s="949"/>
      <c r="D8" s="17"/>
      <c r="E8" s="17"/>
      <c r="F8" s="17"/>
      <c r="G8" s="17"/>
      <c r="H8" s="17"/>
      <c r="I8" s="17"/>
      <c r="J8" s="17"/>
      <c r="K8" s="17"/>
      <c r="L8" s="17"/>
      <c r="M8" s="17"/>
      <c r="N8" s="17"/>
      <c r="O8" s="17"/>
      <c r="P8" s="17"/>
      <c r="Q8" s="60"/>
      <c r="R8" s="17"/>
      <c r="S8" s="1189"/>
      <c r="T8" s="1189"/>
      <c r="U8" s="1189"/>
      <c r="V8" s="1189"/>
      <c r="W8" s="586"/>
      <c r="X8" s="833" t="str">
        <f>"wedstrijd "&amp;RIGHT(X7,2)*1-1</f>
        <v>wedstrijd 39</v>
      </c>
      <c r="Y8" s="834" t="str">
        <f ca="1">IF(AND(Z16&lt;&gt;1,Z17="GOED"),LOOKUP(Z16,S21:S24,V21:V24),"")</f>
        <v>B1</v>
      </c>
      <c r="Z8" s="834" t="str">
        <f ca="1">IF(AND(Y20&lt;&gt;1,Y21="GOED"),LOOKUP(Y20,S16:S19,V16:V19),"")&amp;IF(AND(Z30&lt;&gt;1,Z31="GOED"),LOOKUP(Z30,S31:S34,V31:V34),"")&amp;IF(AND(Y40&lt;&gt;1,Y41="GOED"),LOOKUP(Y40,S36:S39,V36:V39),"")&amp;IF(AND(Z40&lt;&gt;1,Z41="GOED"),LOOKUP(Z40,S41:S44,V41:V44),"")</f>
        <v>A3D3E2F4</v>
      </c>
      <c r="AA8" s="266" t="s">
        <v>1873</v>
      </c>
      <c r="AB8" s="266"/>
      <c r="AC8" s="266"/>
      <c r="AD8" s="143"/>
      <c r="AE8" s="143" t="s">
        <v>105</v>
      </c>
      <c r="AF8" s="143" t="str">
        <f>IF($AC$7=1,IF(COUNTIF(Groepswedstrijden!$Y$45:$Z$50,"GOED")=12,"JA","NEE"),IF($AC$11=1,IF(COUNTIF(#REF!,"GOED")=6,"JA","NEE"),"n.v.t."))</f>
        <v>JA</v>
      </c>
      <c r="AG8" s="143"/>
      <c r="AH8" s="143" t="str">
        <f>IF($AC$7=1,IF(COUNTIF(Groepswedstrijden!$AB$45:$AC$50,"GOED")=12,"JA","NEE"),IF($AC$11=1,IF(COUNTIF(#REF!,"GOED")=6,"JA","NEE"),"n.v.t."))</f>
        <v>JA</v>
      </c>
      <c r="AI8" s="143" t="s">
        <v>106</v>
      </c>
      <c r="AJ8" s="223"/>
    </row>
    <row r="9" spans="1:43" ht="15" customHeight="1" x14ac:dyDescent="0.25">
      <c r="B9" s="39"/>
      <c r="C9" s="954"/>
      <c r="D9" s="1150" t="s">
        <v>179</v>
      </c>
      <c r="E9" s="1151"/>
      <c r="F9" s="740" t="s">
        <v>848</v>
      </c>
      <c r="G9" s="1152" t="str">
        <f ca="1">Taal04!B57</f>
        <v>Om u op weg te helpen kan op basis van voorgaande voorspellingen, mits volledig ingevuld, u een suggestie gegeven worden. U bent niet verplicht deze suggestie op te volgen.</v>
      </c>
      <c r="H9" s="1152"/>
      <c r="I9" s="1152"/>
      <c r="J9" s="1152"/>
      <c r="K9" s="1152"/>
      <c r="L9" s="1152"/>
      <c r="M9" s="1152"/>
      <c r="N9" s="1152"/>
      <c r="O9" s="1152"/>
      <c r="P9" s="585"/>
      <c r="Q9" s="60"/>
      <c r="R9" s="39"/>
      <c r="S9" s="165">
        <v>1</v>
      </c>
      <c r="T9" s="75" t="str">
        <f ca="1">Taal04!B34</f>
        <v>suggesties altijd weergeven</v>
      </c>
      <c r="U9" s="75"/>
      <c r="V9" s="75"/>
      <c r="W9" s="75"/>
      <c r="X9" s="833" t="str">
        <f>"wedstrijd "&amp;RIGHT(X8,2)*1+3</f>
        <v>wedstrijd 42</v>
      </c>
      <c r="Y9" s="834" t="str">
        <f ca="1">IF(AND(Z28&lt;&gt;1,Z29="GOED"),LOOKUP(Z28,S31:S34,V31:V34),"")</f>
        <v>D2</v>
      </c>
      <c r="Z9" s="834" t="str">
        <f ca="1">IF(AND(Y38&lt;&gt;1,Y39="GOED"),LOOKUP(Y38,S36:S39,V36:V39),"")</f>
        <v>E4</v>
      </c>
      <c r="AA9" s="266" t="s">
        <v>1874</v>
      </c>
      <c r="AB9" s="266"/>
      <c r="AC9" s="266"/>
      <c r="AD9" s="143"/>
      <c r="AE9" s="481" t="s">
        <v>107</v>
      </c>
      <c r="AF9" s="481" t="str">
        <f>IF($AC$7=1,IF(COUNTIF(Groepswedstrijden!$Y$55:$Z$60,"GOED")=12,"JA","NEE"),IF($AC$11=1,IF(COUNTIF(#REF!,"GOED")=6,"JA","NEE"),"n.v.t."))</f>
        <v>NEE</v>
      </c>
      <c r="AG9" s="481"/>
      <c r="AH9" s="481" t="str">
        <f ca="1">IF($AC$7=1,IF(COUNTIF(Groepswedstrijden!$AB$52:$AC$60,"GOED")=12,"JA","NEE"),IF($AC$11=1,IF(COUNTIF(#REF!,"GOED")=6,"JA","NEE"),"n.v.t."))</f>
        <v>NEE</v>
      </c>
      <c r="AI9" s="481" t="s">
        <v>108</v>
      </c>
      <c r="AJ9" s="223"/>
      <c r="AL9" s="1168" t="str">
        <f ca="1">UPPER(Taal04!B58)</f>
        <v>EINDSTAND IN DE GROEP OP BASIS VAN EERDERE VOORSPELLINGEN</v>
      </c>
      <c r="AM9" s="1169"/>
      <c r="AN9" s="1170"/>
      <c r="AO9" s="1154" t="str">
        <f ca="1">Taal04!$B$59</f>
        <v>Punten</v>
      </c>
      <c r="AP9" s="1154" t="str">
        <f ca="1">Taal04!$B$60</f>
        <v>Doelpunten voor</v>
      </c>
      <c r="AQ9" s="1154" t="str">
        <f ca="1">Taal04!$B$61</f>
        <v>Doelpunten tegen</v>
      </c>
    </row>
    <row r="10" spans="1:43" ht="15" customHeight="1" x14ac:dyDescent="0.25">
      <c r="B10" s="39"/>
      <c r="C10" s="954"/>
      <c r="D10" s="17"/>
      <c r="E10" s="17"/>
      <c r="F10" s="17"/>
      <c r="G10" s="1152"/>
      <c r="H10" s="1152"/>
      <c r="I10" s="1152"/>
      <c r="J10" s="1152"/>
      <c r="K10" s="1152"/>
      <c r="L10" s="1152"/>
      <c r="M10" s="1152"/>
      <c r="N10" s="1152"/>
      <c r="O10" s="1152"/>
      <c r="P10" s="585"/>
      <c r="Q10" s="60"/>
      <c r="R10" s="39"/>
      <c r="S10" s="165">
        <v>2</v>
      </c>
      <c r="T10" s="75" t="str">
        <f ca="1">Taal04!B35</f>
        <v>suggesties verbergen na keuze</v>
      </c>
      <c r="U10" s="75"/>
      <c r="V10" s="75"/>
      <c r="W10" s="75"/>
      <c r="X10" s="833" t="str">
        <f>"wedstrijd "&amp;RIGHT(X9,2)*1-1</f>
        <v>wedstrijd 41</v>
      </c>
      <c r="Y10" s="834" t="str">
        <f ca="1">IF(AND(Z36&lt;&gt;1,Z37="GOED"),LOOKUP(Z36,S41:S44,V41:V44),"")</f>
        <v>F3</v>
      </c>
      <c r="Z10" s="834" t="str">
        <f ca="1">IF(AND(Y20&lt;&gt;1,Y21="GOED"),LOOKUP(Y20,S16:S19,V16:V19),"")&amp;IF(AND(Z20&lt;&gt;1,Z21="GOED"),LOOKUP(Z20,S21:S24,V21:V24),"")&amp;IF(AND(Y30&lt;&gt;1,Y31="GOED"),LOOKUP(Y30,S26:S29,V26:V29),"")</f>
        <v>A3B3C3</v>
      </c>
      <c r="AA10" s="266" t="s">
        <v>1875</v>
      </c>
      <c r="AB10" s="269" t="s">
        <v>275</v>
      </c>
      <c r="AC10" s="266"/>
      <c r="AD10" s="143"/>
      <c r="AE10" s="143"/>
      <c r="AF10" s="143"/>
      <c r="AG10" s="143"/>
      <c r="AH10" s="143"/>
      <c r="AI10" s="143"/>
      <c r="AJ10" s="223"/>
      <c r="AL10" s="1171"/>
      <c r="AM10" s="1172"/>
      <c r="AN10" s="1173"/>
      <c r="AO10" s="1155"/>
      <c r="AP10" s="1155"/>
      <c r="AQ10" s="1155"/>
    </row>
    <row r="11" spans="1:43" ht="15" customHeight="1" x14ac:dyDescent="0.25">
      <c r="B11" s="39"/>
      <c r="C11" s="954"/>
      <c r="D11" s="17"/>
      <c r="E11" s="17"/>
      <c r="F11" s="17"/>
      <c r="G11" s="1152"/>
      <c r="H11" s="1152"/>
      <c r="I11" s="1152"/>
      <c r="J11" s="1152"/>
      <c r="K11" s="1152"/>
      <c r="L11" s="1152"/>
      <c r="M11" s="1152"/>
      <c r="N11" s="1152"/>
      <c r="O11" s="1152"/>
      <c r="P11" s="585"/>
      <c r="Q11" s="60"/>
      <c r="R11" s="39"/>
      <c r="S11" s="165">
        <v>3</v>
      </c>
      <c r="T11" s="75" t="str">
        <f ca="1">Taal04!B36</f>
        <v>suggesties niet weergeven</v>
      </c>
      <c r="U11" s="75"/>
      <c r="V11" s="75"/>
      <c r="W11" s="75"/>
      <c r="X11" s="833" t="str">
        <f>"wedstrijd "&amp;RIGHT(X10,2)*1+2</f>
        <v>wedstrijd 43</v>
      </c>
      <c r="Y11" s="834" t="str">
        <f ca="1">IF(AND(Y36&lt;&gt;1,Y37="GOED"),LOOKUP(Y36,S36:S39,V36:V39),"")</f>
        <v>E1</v>
      </c>
      <c r="Z11" s="834" t="str">
        <f ca="1">IF(AND(Y20&lt;&gt;1,Y21="GOED"),LOOKUP(Y20,S16:S19,V16:V19),"")&amp;IF(AND(Z20&lt;&gt;1,Z21="GOED"),LOOKUP(Z20,S21:S24,V21:V24),"")&amp;IF(AND(Y30&lt;&gt;1,Y31="GOED"),LOOKUP(Y30,S26:S29,V26:V29),"")&amp;IF(AND(Z30&lt;&gt;1,Z31="GOED"),LOOKUP(Z30,S31:S34,V31:V34),"")</f>
        <v>A3B3C3D3</v>
      </c>
      <c r="AA11" s="266" t="s">
        <v>1876</v>
      </c>
      <c r="AB11" s="268" t="e">
        <f>#REF!</f>
        <v>#REF!</v>
      </c>
      <c r="AC11" s="266">
        <f>IF(TYPE(AB11)=2,1,0)</f>
        <v>0</v>
      </c>
      <c r="AD11" s="1166" t="s">
        <v>73</v>
      </c>
      <c r="AE11" s="345"/>
      <c r="AF11" s="1166" t="s">
        <v>98</v>
      </c>
      <c r="AG11" s="1166" t="s">
        <v>228</v>
      </c>
      <c r="AH11" s="1166" t="s">
        <v>229</v>
      </c>
      <c r="AI11" s="1166" t="s">
        <v>231</v>
      </c>
      <c r="AJ11" s="1165" t="s">
        <v>232</v>
      </c>
      <c r="AL11" s="1171"/>
      <c r="AM11" s="1172"/>
      <c r="AN11" s="1173"/>
      <c r="AO11" s="1155"/>
      <c r="AP11" s="1155"/>
      <c r="AQ11" s="1155"/>
    </row>
    <row r="12" spans="1:43" ht="15" customHeight="1" x14ac:dyDescent="0.25">
      <c r="B12" s="39"/>
      <c r="C12" s="954"/>
      <c r="D12" s="17"/>
      <c r="E12" s="17"/>
      <c r="F12" s="17"/>
      <c r="G12" s="585"/>
      <c r="H12" s="585"/>
      <c r="I12" s="585"/>
      <c r="J12" s="585"/>
      <c r="K12" s="585"/>
      <c r="L12" s="585"/>
      <c r="M12" s="585"/>
      <c r="N12" s="585"/>
      <c r="O12" s="585"/>
      <c r="P12" s="585"/>
      <c r="Q12" s="60"/>
      <c r="R12" s="39"/>
      <c r="S12" s="593">
        <f ca="1">IF(COUNTIF(Taal04!34:34,D9)&gt;0,1,IF(COUNTIF(Taal04!35:35,D9)&gt;0,2,3))</f>
        <v>1</v>
      </c>
      <c r="T12" s="75" t="s">
        <v>177</v>
      </c>
      <c r="U12" s="75"/>
      <c r="V12" s="75"/>
      <c r="W12" s="75"/>
      <c r="X12" s="833" t="str">
        <f>"wedstrijd "&amp;RIGHT(X11,2)*1+1</f>
        <v>wedstrijd 44</v>
      </c>
      <c r="Y12" s="834" t="str">
        <f ca="1">IF(AND(Z26&lt;&gt;1,Z27="GOED"),LOOKUP(Z26,S31:S34,V31:V34),"")</f>
        <v>D4</v>
      </c>
      <c r="Z12" s="834" t="str">
        <f ca="1">IF(AND(Z38&lt;&gt;1,Z39="GOED"),LOOKUP(Z38,S41:S44,V41:V44),"")</f>
        <v>F1</v>
      </c>
      <c r="AA12" s="266" t="s">
        <v>1877</v>
      </c>
      <c r="AB12" s="266"/>
      <c r="AC12" s="266"/>
      <c r="AD12" s="1166"/>
      <c r="AE12" s="345"/>
      <c r="AF12" s="1166"/>
      <c r="AG12" s="1166"/>
      <c r="AH12" s="1166"/>
      <c r="AI12" s="1166"/>
      <c r="AJ12" s="1165"/>
      <c r="AL12" s="1171"/>
      <c r="AM12" s="1172"/>
      <c r="AN12" s="1173"/>
      <c r="AO12" s="1155"/>
      <c r="AP12" s="1155"/>
      <c r="AQ12" s="1155"/>
    </row>
    <row r="13" spans="1:43" ht="15" customHeight="1" x14ac:dyDescent="0.25">
      <c r="B13" s="39"/>
      <c r="C13" s="954"/>
      <c r="D13" s="956" t="str">
        <f ca="1">Taal04!B55</f>
        <v>Elk land mag maar één keer ingevuld worden bij het voorspellen van de eindstand in de groep.</v>
      </c>
      <c r="E13" s="17"/>
      <c r="F13" s="17"/>
      <c r="G13" s="585"/>
      <c r="H13" s="585"/>
      <c r="I13" s="585"/>
      <c r="J13" s="585"/>
      <c r="K13" s="585"/>
      <c r="L13" s="585"/>
      <c r="M13" s="585"/>
      <c r="N13" s="585"/>
      <c r="O13" s="585"/>
      <c r="P13" s="585"/>
      <c r="Q13" s="60"/>
      <c r="R13" s="39"/>
      <c r="S13" s="89"/>
      <c r="T13" s="89"/>
      <c r="U13" s="89"/>
      <c r="V13" s="89"/>
      <c r="W13" s="89"/>
      <c r="X13" s="89"/>
      <c r="Y13" s="89"/>
      <c r="Z13" s="89"/>
      <c r="AA13" s="266"/>
      <c r="AB13" s="266"/>
      <c r="AC13" s="266"/>
      <c r="AD13" s="1166"/>
      <c r="AE13" s="345"/>
      <c r="AF13" s="1166"/>
      <c r="AG13" s="1166"/>
      <c r="AH13" s="1166"/>
      <c r="AI13" s="1166"/>
      <c r="AJ13" s="1165"/>
      <c r="AL13" s="1171"/>
      <c r="AM13" s="1172"/>
      <c r="AN13" s="1173"/>
      <c r="AO13" s="1155"/>
      <c r="AP13" s="1155"/>
      <c r="AQ13" s="1155"/>
    </row>
    <row r="14" spans="1:43" ht="15" customHeight="1" x14ac:dyDescent="0.25">
      <c r="B14" s="39"/>
      <c r="C14" s="954"/>
      <c r="D14" s="1157" t="str">
        <f ca="1">Taal04!$B$26&amp;" A"</f>
        <v>Groep A</v>
      </c>
      <c r="E14" s="1157"/>
      <c r="F14" s="17"/>
      <c r="G14" s="715"/>
      <c r="H14" s="715"/>
      <c r="I14" s="715"/>
      <c r="J14" s="715"/>
      <c r="K14" s="1157" t="str">
        <f ca="1">Taal04!$B$26&amp;" B"</f>
        <v>Groep B</v>
      </c>
      <c r="L14" s="1157"/>
      <c r="M14" s="715"/>
      <c r="N14" s="715"/>
      <c r="O14" s="715"/>
      <c r="P14" s="715"/>
      <c r="Q14" s="60"/>
      <c r="R14" s="39"/>
      <c r="S14" s="144"/>
      <c r="T14" s="144"/>
      <c r="U14" s="144"/>
      <c r="V14" s="144"/>
      <c r="W14" s="144"/>
      <c r="X14" s="144"/>
      <c r="Y14" s="194"/>
      <c r="Z14" s="194"/>
      <c r="AA14" s="64"/>
      <c r="AB14" s="264" t="s">
        <v>273</v>
      </c>
      <c r="AC14" s="263" t="s">
        <v>233</v>
      </c>
      <c r="AD14" s="1166"/>
      <c r="AE14" s="345"/>
      <c r="AF14" s="1166"/>
      <c r="AG14" s="1166"/>
      <c r="AH14" s="1166"/>
      <c r="AI14" s="1166"/>
      <c r="AJ14" s="1165"/>
      <c r="AL14" s="1174"/>
      <c r="AM14" s="1175"/>
      <c r="AN14" s="1176"/>
      <c r="AO14" s="1156"/>
      <c r="AP14" s="1156"/>
      <c r="AQ14" s="1156"/>
    </row>
    <row r="15" spans="1:43" ht="15" customHeight="1" x14ac:dyDescent="0.25">
      <c r="B15" s="39"/>
      <c r="C15" s="954"/>
      <c r="D15" s="1158"/>
      <c r="E15" s="1158"/>
      <c r="F15" s="17"/>
      <c r="G15" s="17"/>
      <c r="H15" s="17"/>
      <c r="I15" s="17"/>
      <c r="J15" s="17"/>
      <c r="K15" s="1158"/>
      <c r="L15" s="1158"/>
      <c r="M15" s="17"/>
      <c r="N15" s="17"/>
      <c r="O15" s="17"/>
      <c r="P15" s="17"/>
      <c r="Q15" s="60"/>
      <c r="R15" s="39"/>
      <c r="S15" s="111">
        <v>1</v>
      </c>
      <c r="T15" s="135"/>
      <c r="U15" s="137"/>
      <c r="V15" s="289" t="str">
        <f ca="1">RIGHT(D14,1)</f>
        <v>A</v>
      </c>
      <c r="W15" s="588"/>
      <c r="X15" s="196" t="str">
        <f ca="1">"Deelnamecode "&amp;V15&amp;"/"&amp;V20</f>
        <v>Deelnamecode A/B</v>
      </c>
      <c r="Y15" s="162" t="str">
        <f ca="1">IF(AND(TYPE(Y16)=1,TYPE(Y18)=1,TYPE(Y20)=1,TYPE(Y22)=1),IF(AND(Y17="GOED",Y19="GOED",Y21="GOED",Y23="GOED"),LOOKUP(Y16,S16:S19,U16:U19)&amp;"."&amp;LOOKUP(Y18,S16:S19,U16:U19)&amp;"."&amp;LOOKUP(Y20,S16:S19,U16:U19)&amp;"."&amp;LOOKUP(Y22,S16:S19,U16:U19)&amp;"|","FOUT"),"ONGELDIG")</f>
        <v>DE.CH.HU.SC|</v>
      </c>
      <c r="Z15" s="162" t="str">
        <f ca="1">IF(AND(TYPE(Z16)=1,TYPE(Z18)=1,TYPE(Z20)=1,TYPE(Z22)=1),IF(AND(Z17="GOED",Z19="GOED",Z21="GOED",Z23="GOED"),LOOKUP(Z16,S21:S24,U21:U24)&amp;"."&amp;LOOKUP(Z18,S21:S24,U21:U24)&amp;"."&amp;LOOKUP(Z20,S21:S24,U21:U24)&amp;"."&amp;LOOKUP(Z22,S21:S24,U21:U24)&amp;"|","FOUT"),"ONGELDIG")</f>
        <v>ES.HR.IT.AL|</v>
      </c>
      <c r="AA15" s="64"/>
      <c r="AB15" s="264" t="str">
        <f ca="1">UPPER(Taal04!$B$26)&amp;" "&amp;V15</f>
        <v>GROEP A</v>
      </c>
      <c r="AC15" s="263" t="str">
        <f ca="1">AB15</f>
        <v>GROEP A</v>
      </c>
      <c r="AD15" s="143"/>
      <c r="AE15" s="187" t="str">
        <f ca="1">AB15</f>
        <v>GROEP A</v>
      </c>
      <c r="AF15" s="143"/>
      <c r="AG15" s="143"/>
      <c r="AH15" s="143"/>
      <c r="AI15" s="218"/>
      <c r="AJ15" s="223"/>
      <c r="AM15" s="601"/>
    </row>
    <row r="16" spans="1:43" s="166" customFormat="1" ht="15" customHeight="1" x14ac:dyDescent="0.25">
      <c r="B16" s="17"/>
      <c r="C16" s="949"/>
      <c r="D16" s="335" t="s">
        <v>212</v>
      </c>
      <c r="E16" s="820" t="s">
        <v>1</v>
      </c>
      <c r="F16" s="587" t="str">
        <f>IF(Y17="LEEG","▼","")</f>
        <v/>
      </c>
      <c r="G16" s="17"/>
      <c r="H16" s="741"/>
      <c r="I16" s="741"/>
      <c r="J16" s="17"/>
      <c r="K16" s="335" t="s">
        <v>212</v>
      </c>
      <c r="L16" s="821" t="s">
        <v>856</v>
      </c>
      <c r="M16" s="587" t="str">
        <f>IF(Z17="LEEG","▼","")</f>
        <v/>
      </c>
      <c r="N16" s="17"/>
      <c r="O16" s="741"/>
      <c r="P16" s="741"/>
      <c r="Q16" s="60"/>
      <c r="R16" s="17"/>
      <c r="S16" s="111">
        <f>S15+1</f>
        <v>2</v>
      </c>
      <c r="T16" s="85" t="str">
        <f ca="1">VLOOKUP(V16,Voorblad!$X$67:$Z$98,2,FALSE)</f>
        <v>Duitsland</v>
      </c>
      <c r="U16" s="10" t="str">
        <f ca="1">VLOOKUP(V16,Voorblad!$X$67:$Z$98,3,FALSE)</f>
        <v>DE</v>
      </c>
      <c r="V16" s="292" t="str">
        <f ca="1">V15&amp;1</f>
        <v>A1</v>
      </c>
      <c r="W16" s="589" t="str">
        <f>"|"&amp;Taal02!C7&amp;"|"&amp;Taal02!D7&amp;"|"&amp;Taal02!E7&amp;"|"&amp;Taal02!F7&amp;"|"&amp;Taal02!G7&amp;"|"&amp;Taal02!H7&amp;"|"&amp;Taal02!I7&amp;"|"&amp;Taal02!J7&amp;"|"</f>
        <v>|Duitsland|Germany|Deutschland|Tyskland|||||</v>
      </c>
      <c r="X16" s="196" t="s">
        <v>216</v>
      </c>
      <c r="Y16" s="144">
        <f>IF(ISBLANK(E16),1,IF(SUBSTITUTE(W16,E16,"#")&lt;&gt;W16,2,IF(SUBSTITUTE(W17,E16,"#")&lt;&gt;W17,3,IF(SUBSTITUTE(W18,E16,"#")&lt;&gt;W18,4,IF(SUBSTITUTE(W19,E16,"#")&lt;&gt;W19,5,6)))))</f>
        <v>2</v>
      </c>
      <c r="Z16" s="144">
        <f>IF(ISBLANK(L16),1,IF(SUBSTITUTE(W21,L16,"#")&lt;&gt;W21,2,IF(SUBSTITUTE(W22,L16,"#")&lt;&gt;W22,3,IF(SUBSTITUTE(W23,L16,"#")&lt;&gt;W23,4,IF(SUBSTITUTE(W24,L16,"#")&lt;&gt;W24,5,6)))))</f>
        <v>2</v>
      </c>
      <c r="AA16" s="263" t="str">
        <f ca="1">RIGHT(V16,1)</f>
        <v>1</v>
      </c>
      <c r="AB16" s="265" t="str">
        <f ca="1">Groepswedstrijden!Z76</f>
        <v>Duitsland</v>
      </c>
      <c r="AC16" s="64" t="e">
        <f>#REF!</f>
        <v>#REF!</v>
      </c>
      <c r="AD16" s="143">
        <f ca="1">IF($AC$7=1,VLOOKUP($V16,Groepswedstrijden!$AH$12:$BA$78,20,FALSE),IF($AC$11=1,VLOOKUP($V16,#REF!,20,FALSE),""))</f>
        <v>1</v>
      </c>
      <c r="AE16" s="186" t="str">
        <f ca="1">IF($AC$7=1,VLOOKUP($V16,Groepswedstrijden!$AH$12:$BA$78,3,FALSE),IF($AC$11=1,VLOOKUP($V16,#REF!,3,FALSE),""))</f>
        <v>Duitsland</v>
      </c>
      <c r="AF16" s="143">
        <f ca="1">IF($AC$7=1,VLOOKUP($V16,Groepswedstrijden!$AH$12:$BA$78,9,FALSE),IF($AC$11=1,VLOOKUP($V16,#REF!,9,FALSE),""))</f>
        <v>9</v>
      </c>
      <c r="AG16" s="143">
        <f ca="1">IF($AC$7=1,VLOOKUP($V16,Groepswedstrijden!$AH$12:$BA$78,10,FALSE),IF($AC$11=1,VLOOKUP($V16,#REF!,10,FALSE),""))</f>
        <v>6</v>
      </c>
      <c r="AH16" s="143">
        <f ca="1">IF($AC$7=1,VLOOKUP($V16,Groepswedstrijden!$AH$12:$BA$78,11,FALSE),IF($AC$11=1,VLOOKUP($V16,#REF!,11,FALSE),""))</f>
        <v>2</v>
      </c>
      <c r="AI16" s="219">
        <f ca="1">IF($AC$7=1,VLOOKUP($V16,Groepswedstrijden!$AH$12:$BA$78,19,FALSE),IF($AC$11=1,VLOOKUP($V16,#REF!,19,FALSE),""))</f>
        <v>95040603500001</v>
      </c>
      <c r="AJ16" s="224">
        <f ca="1">FLOOR(IF($AD16=1,AI16,IF($AD17=1,AI17,IF($AD18=1,AI18,AI19)))/10,1)</f>
        <v>9504060350000</v>
      </c>
      <c r="AL16" s="1159" t="str">
        <f ca="1">AE15</f>
        <v>GROEP A</v>
      </c>
      <c r="AM16" s="336" t="s">
        <v>67</v>
      </c>
      <c r="AN16" s="337" t="str">
        <f ca="1">IF($AD16=1,AE16,IF($AD17=1,AE17,IF($AD18=1,AE18,AE19)))</f>
        <v>Duitsland</v>
      </c>
      <c r="AO16" s="338">
        <f ca="1">IF($AD16=1,AF16,IF($AD17=1,AF17,IF($AD18=1,AF18,AF19)))</f>
        <v>9</v>
      </c>
      <c r="AP16" s="338">
        <f ca="1">IF($AD16=1,AG16,IF($AD17=1,AG17,IF($AD18=1,AG18,AG19)))</f>
        <v>6</v>
      </c>
      <c r="AQ16" s="338">
        <f ca="1">IF($AD16=1,AH16,IF($AD17=1,AH17,IF($AD18=1,AH18,AH19)))</f>
        <v>2</v>
      </c>
    </row>
    <row r="17" spans="2:43" s="166" customFormat="1" ht="20.100000000000001" customHeight="1" x14ac:dyDescent="0.25">
      <c r="B17" s="17"/>
      <c r="C17" s="949"/>
      <c r="D17" s="1153" t="str">
        <f ca="1">IF($S$12=1,IF($AC$7=1,AB16,IF($AC$11=1,AC16,"")),IF(AND($S$12=2,OR($Y$17="LEEG",$Y$17="ONGELDIG")),IF($AC$7=1,AB16,IF($AC$11=1,AC16,"")),""))</f>
        <v>Duitsland</v>
      </c>
      <c r="E17" s="1153"/>
      <c r="F17" s="1153"/>
      <c r="G17" s="1153"/>
      <c r="H17" s="1153"/>
      <c r="I17" s="1153"/>
      <c r="J17" s="17"/>
      <c r="K17" s="1153" t="str">
        <f ca="1">IF($S$12=1,IF($AC$7=1,AB21,IF($AC$11=1,AC21,"")),IF(AND($S$12=2,OR($Z$17="LEEG",$Z$17="ONGELDIG")),IF($AC$7=1,AB21,IF($AC$11=1,AC21,"")),""))</f>
        <v>Spanje / Kroatië</v>
      </c>
      <c r="L17" s="1153"/>
      <c r="M17" s="1153"/>
      <c r="N17" s="1153"/>
      <c r="O17" s="1153"/>
      <c r="P17" s="1153"/>
      <c r="Q17" s="60"/>
      <c r="R17" s="17"/>
      <c r="S17" s="111">
        <f>S16+1</f>
        <v>3</v>
      </c>
      <c r="T17" s="85" t="str">
        <f ca="1">VLOOKUP(V17,Voorblad!$X$67:$Z$98,2,FALSE)</f>
        <v>Schotland</v>
      </c>
      <c r="U17" s="10" t="str">
        <f ca="1">VLOOKUP(V17,Voorblad!$X$67:$Z$98,3,FALSE)</f>
        <v>SC</v>
      </c>
      <c r="V17" s="292" t="str">
        <f ca="1">V15&amp;2</f>
        <v>A2</v>
      </c>
      <c r="W17" s="589" t="str">
        <f>"|"&amp;Taal02!C8&amp;"|"&amp;Taal02!D8&amp;"|"&amp;Taal02!E8&amp;"|"&amp;Taal02!F8&amp;"|"&amp;Taal02!G8&amp;"|"&amp;Taal02!H8&amp;"|"&amp;Taal02!I8&amp;"|"&amp;Taal02!J8&amp;"|"</f>
        <v>|Schotland|Scotland|Schotland|Skottland|||||</v>
      </c>
      <c r="X17" s="196" t="s">
        <v>217</v>
      </c>
      <c r="Y17" s="144" t="str">
        <f>IF(Y16=1, "LEEG",IF(AND(Y16&gt;1,Y16&lt;6,TYPE(Y16+Y18+Y20+Y22)=1),IF(OR(Y16=Y18,Y16=Y20,Y16=Y22),"DUBBEL","GOED"),"ONGELDIG"))</f>
        <v>GOED</v>
      </c>
      <c r="Z17" s="144" t="str">
        <f>IF(Z16=1, "LEEG",IF(AND(Z16&gt;1,Z16&lt;6,TYPE(Z16+Z18+Z20+Z22)=1),IF(OR(Z16=Z18,Z16=Z20,Z16=Z22),"DUBBEL","GOED"),"ONGELDIG"))</f>
        <v>GOED</v>
      </c>
      <c r="AA17" s="263" t="str">
        <f ca="1">RIGHT(V17,1)</f>
        <v>2</v>
      </c>
      <c r="AB17" s="265" t="str">
        <f ca="1">Groepswedstrijden!Z77</f>
        <v>Hongarije / Zwitserland</v>
      </c>
      <c r="AC17" s="64" t="e">
        <f>#REF!</f>
        <v>#REF!</v>
      </c>
      <c r="AD17" s="143">
        <f ca="1">IF($AC$7=1,VLOOKUP($V17,Groepswedstrijden!$AH$12:$BA$78,20,FALSE),IF($AC$11=1,VLOOKUP($V17,#REF!,20,FALSE),""))</f>
        <v>4</v>
      </c>
      <c r="AE17" s="186" t="str">
        <f ca="1">IF($AC$7=1,VLOOKUP($V17,Groepswedstrijden!$AH$12:$BA$78,3,FALSE),IF($AC$11=1,VLOOKUP($V17,#REF!,3,FALSE),""))</f>
        <v>Schotland</v>
      </c>
      <c r="AF17" s="143">
        <f ca="1">IF($AC$7=1,VLOOKUP($V17,Groepswedstrijden!$AH$12:$BA$78,9,FALSE),IF($AC$11=1,VLOOKUP($V17,#REF!,9,FALSE),""))</f>
        <v>0</v>
      </c>
      <c r="AG17" s="143">
        <f ca="1">IF($AC$7=1,VLOOKUP($V17,Groepswedstrijden!$AH$12:$BA$78,10,FALSE),IF($AC$11=1,VLOOKUP($V17,#REF!,10,FALSE),""))</f>
        <v>0</v>
      </c>
      <c r="AH17" s="143">
        <f ca="1">IF($AC$7=1,VLOOKUP($V17,Groepswedstrijden!$AH$12:$BA$78,11,FALSE),IF($AC$11=1,VLOOKUP($V17,#REF!,11,FALSE),""))</f>
        <v>5</v>
      </c>
      <c r="AI17" s="219">
        <f ca="1">IF($AC$7=1,VLOOKUP($V17,Groepswedstrijden!$AH$12:$BA$78,19,FALSE),IF($AC$11=1,VLOOKUP($V17,#REF!,19,FALSE),""))</f>
        <v>4950003500003</v>
      </c>
      <c r="AJ17" s="224">
        <f ca="1">FLOOR(IF($AD16=2,AI16,IF($AD17=2,AI17,IF($AD18=2,AI18,AI19)))/10,1)</f>
        <v>4501040350001</v>
      </c>
      <c r="AL17" s="1160"/>
      <c r="AM17" s="339" t="str">
        <f ca="1">IF(AJ17=AJ16,"","2.")</f>
        <v>2.</v>
      </c>
      <c r="AN17" s="340" t="str">
        <f ca="1">IF($AD16=2,AE16,IF($AD17=2,AE17,IF($AD18=2,AE18,AE19)))</f>
        <v>Hongarije</v>
      </c>
      <c r="AO17" s="341">
        <f ca="1">IF($AD16=2,AF16,IF($AD17=2,AF17,IF($AD18=2,AF18,AF19)))</f>
        <v>4</v>
      </c>
      <c r="AP17" s="341">
        <f ca="1">IF($AD16=2,AG16,IF($AD17=2,AG17,IF($AD18=2,AG18,AG19)))</f>
        <v>4</v>
      </c>
      <c r="AQ17" s="341">
        <f ca="1">IF($AD16=2,AH16,IF($AD17=2,AH17,IF($AD18=2,AH18,AH19)))</f>
        <v>3</v>
      </c>
    </row>
    <row r="18" spans="2:43" s="166" customFormat="1" ht="15" customHeight="1" x14ac:dyDescent="0.25">
      <c r="B18" s="17"/>
      <c r="C18" s="949"/>
      <c r="D18" s="335" t="s">
        <v>213</v>
      </c>
      <c r="E18" s="820" t="s">
        <v>851</v>
      </c>
      <c r="F18" s="587" t="str">
        <f>IF(Y19="LEEG","▼","")</f>
        <v/>
      </c>
      <c r="G18" s="17"/>
      <c r="H18" s="17"/>
      <c r="I18" s="17"/>
      <c r="J18" s="17"/>
      <c r="K18" s="335" t="s">
        <v>213</v>
      </c>
      <c r="L18" s="821" t="s">
        <v>855</v>
      </c>
      <c r="M18" s="587" t="str">
        <f>IF(Z19="LEEG","▼","")</f>
        <v/>
      </c>
      <c r="N18" s="17"/>
      <c r="O18" s="17"/>
      <c r="P18" s="17"/>
      <c r="Q18" s="60"/>
      <c r="R18" s="17"/>
      <c r="S18" s="111">
        <f>S17+1</f>
        <v>4</v>
      </c>
      <c r="T18" s="85" t="str">
        <f ca="1">VLOOKUP(V18,Voorblad!$X$67:$Z$98,2,FALSE)</f>
        <v>Hongarije</v>
      </c>
      <c r="U18" s="10" t="str">
        <f ca="1">VLOOKUP(V18,Voorblad!$X$67:$Z$98,3,FALSE)</f>
        <v>HU</v>
      </c>
      <c r="V18" s="292" t="str">
        <f ca="1">V15&amp;3</f>
        <v>A3</v>
      </c>
      <c r="W18" s="589" t="str">
        <f>"|"&amp;Taal02!C9&amp;"|"&amp;Taal02!D9&amp;"|"&amp;Taal02!E9&amp;"|"&amp;Taal02!F9&amp;"|"&amp;Taal02!G9&amp;"|"&amp;Taal02!H9&amp;"|"&amp;Taal02!I9&amp;"|"&amp;Taal02!J9&amp;"|"</f>
        <v>|Hongarije|Hungary|Ungarn|Ungern|||||</v>
      </c>
      <c r="X18" s="196" t="s">
        <v>218</v>
      </c>
      <c r="Y18" s="144">
        <f>IF(ISBLANK(E18),1,IF(SUBSTITUTE(W16,E18,"#")&lt;&gt;W16,2,IF(SUBSTITUTE(W17,E18,"#")&lt;&gt;W17,3,IF(SUBSTITUTE(W18,E18,"#")&lt;&gt;W18,4,IF(SUBSTITUTE(W19,E18,"#")&lt;&gt;W19,5,6)))))</f>
        <v>5</v>
      </c>
      <c r="Z18" s="144">
        <f>IF(ISBLANK(L18),1,IF(SUBSTITUTE(W21,L18,"#")&lt;&gt;W21,2,IF(SUBSTITUTE(W22,L18,"#")&lt;&gt;W22,3,IF(SUBSTITUTE(W23,L18,"#")&lt;&gt;W23,4,IF(SUBSTITUTE(W24,L18,"#")&lt;&gt;W24,5,6)))))</f>
        <v>3</v>
      </c>
      <c r="AA18" s="263" t="str">
        <f ca="1">RIGHT(V18,1)</f>
        <v>3</v>
      </c>
      <c r="AB18" s="265" t="str">
        <f ca="1">Groepswedstrijden!Z78</f>
        <v>Hongarije / Zwitserland</v>
      </c>
      <c r="AC18" s="64" t="e">
        <f>#REF!</f>
        <v>#REF!</v>
      </c>
      <c r="AD18" s="143">
        <f ca="1">IF($AC$7=1,VLOOKUP($V18,Groepswedstrijden!$AH$12:$BA$78,20,FALSE),IF($AC$11=1,VLOOKUP($V18,#REF!,20,FALSE),""))</f>
        <v>2</v>
      </c>
      <c r="AE18" s="186" t="str">
        <f ca="1">IF($AC$7=1,VLOOKUP($V18,Groepswedstrijden!$AH$12:$BA$78,3,FALSE),IF($AC$11=1,VLOOKUP($V18,#REF!,3,FALSE),""))</f>
        <v>Hongarije</v>
      </c>
      <c r="AF18" s="143">
        <f ca="1">IF($AC$7=1,VLOOKUP($V18,Groepswedstrijden!$AH$12:$BA$78,9,FALSE),IF($AC$11=1,VLOOKUP($V18,#REF!,9,FALSE),""))</f>
        <v>4</v>
      </c>
      <c r="AG18" s="143">
        <f ca="1">IF($AC$7=1,VLOOKUP($V18,Groepswedstrijden!$AH$12:$BA$78,10,FALSE),IF($AC$11=1,VLOOKUP($V18,#REF!,10,FALSE),""))</f>
        <v>4</v>
      </c>
      <c r="AH18" s="143">
        <f ca="1">IF($AC$7=1,VLOOKUP($V18,Groepswedstrijden!$AH$12:$BA$78,11,FALSE),IF($AC$11=1,VLOOKUP($V18,#REF!,11,FALSE),""))</f>
        <v>3</v>
      </c>
      <c r="AI18" s="219">
        <f ca="1">IF($AC$7=1,VLOOKUP($V18,Groepswedstrijden!$AH$12:$BA$78,19,FALSE),IF($AC$11=1,VLOOKUP($V18,#REF!,19,FALSE),""))</f>
        <v>45010403500012</v>
      </c>
      <c r="AJ18" s="224">
        <f ca="1">FLOOR(IF($AD16=3,AI16,IF($AD17=3,AI17,IF($AD18=3,AI18,AI19)))/10,1)</f>
        <v>4500030350001</v>
      </c>
      <c r="AL18" s="1160"/>
      <c r="AM18" s="339" t="str">
        <f ca="1">IF(AJ18=AJ17,"","3.")</f>
        <v>3.</v>
      </c>
      <c r="AN18" s="340" t="str">
        <f ca="1">IF($AD16=3,AE16,IF($AD17=3,AE17,IF($AD18=3,AE18,AE19)))</f>
        <v>Zwitserland</v>
      </c>
      <c r="AO18" s="341">
        <f ca="1">IF($AD16=3,AF16,IF($AD17=3,AF17,IF($AD18=3,AF18,AF19)))</f>
        <v>4</v>
      </c>
      <c r="AP18" s="341">
        <f ca="1">IF($AD16=3,AG16,IF($AD17=3,AG17,IF($AD18=3,AG18,AG19)))</f>
        <v>3</v>
      </c>
      <c r="AQ18" s="341">
        <f ca="1">IF($AD16=3,AH16,IF($AD17=3,AH17,IF($AD18=3,AH18,AH19)))</f>
        <v>3</v>
      </c>
    </row>
    <row r="19" spans="2:43" s="166" customFormat="1" ht="20.100000000000001" customHeight="1" x14ac:dyDescent="0.25">
      <c r="B19" s="17"/>
      <c r="C19" s="949"/>
      <c r="D19" s="1153" t="str">
        <f ca="1">IF($S$12=1,IF($AC$7=1,AB17,IF($AC$11=1,AC17,"")),IF(AND($S$12=2,OR($Y$19="LEEG",$Y$19="ONGELDIG")),IF($AC$7=1,AB17,IF($AC$11=1,AC17,"")),""))</f>
        <v>Hongarije / Zwitserland</v>
      </c>
      <c r="E19" s="1153"/>
      <c r="F19" s="1153"/>
      <c r="G19" s="1153"/>
      <c r="H19" s="1153"/>
      <c r="I19" s="1153"/>
      <c r="J19" s="17"/>
      <c r="K19" s="1153" t="str">
        <f ca="1">IF($S$12=1,IF($AC$7=1,AB22,IF($AC$11=1,AC22,"")),IF(AND($S$12=2,OR($Z$19="LEEG",$Z$19="ONGELDIG")),IF($AC$7=1,AB22,IF($AC$11=1,AC22,"")),""))</f>
        <v>Spanje / Kroatië</v>
      </c>
      <c r="L19" s="1153"/>
      <c r="M19" s="1153"/>
      <c r="N19" s="1153"/>
      <c r="O19" s="1153"/>
      <c r="P19" s="1153"/>
      <c r="Q19" s="60"/>
      <c r="R19" s="17"/>
      <c r="S19" s="111">
        <f>S18+1</f>
        <v>5</v>
      </c>
      <c r="T19" s="136" t="str">
        <f ca="1">VLOOKUP(V19,Voorblad!$X$67:$Z$98,2,FALSE)</f>
        <v>Zwitserland</v>
      </c>
      <c r="U19" s="53" t="str">
        <f ca="1">VLOOKUP(V19,Voorblad!$X$67:$Z$98,3,FALSE)</f>
        <v>CH</v>
      </c>
      <c r="V19" s="295" t="str">
        <f ca="1">V15&amp;4</f>
        <v>A4</v>
      </c>
      <c r="W19" s="589" t="str">
        <f>"|"&amp;Taal02!C10&amp;"|"&amp;Taal02!D10&amp;"|"&amp;Taal02!E10&amp;"|"&amp;Taal02!F10&amp;"|"&amp;Taal02!G10&amp;"|"&amp;Taal02!H10&amp;"|"&amp;Taal02!I10&amp;"|"&amp;Taal02!J10&amp;"|"</f>
        <v>|Zwitserland|Switzerland|Schweiz|Schweiz|||||</v>
      </c>
      <c r="X19" s="196" t="s">
        <v>219</v>
      </c>
      <c r="Y19" s="144" t="str">
        <f>IF(Y18=1, "LEEG",IF(AND(Y18&gt;1,Y18&lt;6,TYPE(Y16+Y18+Y20+Y22)=1),IF(OR(Y18=Y16,Y18=Y20,Y18=Y22),"DUBBEL","GOED"),"ONGELDIG"))</f>
        <v>GOED</v>
      </c>
      <c r="Z19" s="144" t="str">
        <f>IF(Z18=1, "LEEG",IF(AND(Z18&gt;1,Z18&lt;6,TYPE(Z16+Z18+Z20+Z22)=1),IF(OR(Z18=Z16,Z18=Z20,Z18=Z22),"DUBBEL","GOED"),"ONGELDIG"))</f>
        <v>GOED</v>
      </c>
      <c r="AA19" s="263" t="str">
        <f ca="1">RIGHT(V19,1)</f>
        <v>4</v>
      </c>
      <c r="AB19" s="265" t="str">
        <f ca="1">Groepswedstrijden!Z79</f>
        <v>Schotland</v>
      </c>
      <c r="AC19" s="64" t="e">
        <f>#REF!</f>
        <v>#REF!</v>
      </c>
      <c r="AD19" s="143">
        <f ca="1">IF($AC$7=1,VLOOKUP($V19,Groepswedstrijden!$AH$12:$BA$78,20,FALSE),IF($AC$11=1,VLOOKUP($V19,#REF!,20,FALSE),""))</f>
        <v>3</v>
      </c>
      <c r="AE19" s="186" t="str">
        <f ca="1">IF($AC$7=1,VLOOKUP($V19,Groepswedstrijden!$AH$12:$BA$78,3,FALSE),IF($AC$11=1,VLOOKUP($V19,#REF!,3,FALSE),""))</f>
        <v>Zwitserland</v>
      </c>
      <c r="AF19" s="143">
        <f ca="1">IF($AC$7=1,VLOOKUP($V19,Groepswedstrijden!$AH$12:$BA$78,9,FALSE),IF($AC$11=1,VLOOKUP($V19,#REF!,9,FALSE),""))</f>
        <v>4</v>
      </c>
      <c r="AG19" s="143">
        <f ca="1">IF($AC$7=1,VLOOKUP($V19,Groepswedstrijden!$AH$12:$BA$78,10,FALSE),IF($AC$11=1,VLOOKUP($V19,#REF!,10,FALSE),""))</f>
        <v>3</v>
      </c>
      <c r="AH19" s="143">
        <f ca="1">IF($AC$7=1,VLOOKUP($V19,Groepswedstrijden!$AH$12:$BA$78,11,FALSE),IF($AC$11=1,VLOOKUP($V19,#REF!,11,FALSE),""))</f>
        <v>3</v>
      </c>
      <c r="AI19" s="219">
        <f ca="1">IF($AC$7=1,VLOOKUP($V19,Groepswedstrijden!$AH$12:$BA$78,19,FALSE),IF($AC$11=1,VLOOKUP($V19,#REF!,19,FALSE),""))</f>
        <v>45000303500014</v>
      </c>
      <c r="AJ19" s="224">
        <f ca="1">FLOOR(IF($AD16=4,AI16,IF($AD17=4,AI17,IF($AD18=4,AI18,AI19)))/10,1)</f>
        <v>495000350000</v>
      </c>
      <c r="AL19" s="1161"/>
      <c r="AM19" s="342" t="str">
        <f ca="1">IF(AJ19=AJ18,"","4.")</f>
        <v>4.</v>
      </c>
      <c r="AN19" s="343" t="str">
        <f ca="1">IF($AD16=4,AE16,IF($AD17=4,AE17,IF($AD18=4,AE18,AE19)))</f>
        <v>Schotland</v>
      </c>
      <c r="AO19" s="344">
        <f ca="1">IF($AD16=4,AF16,IF($AD17=4,AF17,IF($AD18=4,AF18,AF19)))</f>
        <v>0</v>
      </c>
      <c r="AP19" s="344">
        <f ca="1">IF($AD16=4,AG16,IF($AD17=4,AG17,IF($AD18=4,AG18,AG19)))</f>
        <v>0</v>
      </c>
      <c r="AQ19" s="344">
        <f ca="1">IF($AD16=4,AH16,IF($AD17=4,AH17,IF($AD18=4,AH18,AH19)))</f>
        <v>5</v>
      </c>
    </row>
    <row r="20" spans="2:43" ht="15" customHeight="1" x14ac:dyDescent="0.25">
      <c r="B20" s="17"/>
      <c r="C20" s="949"/>
      <c r="D20" s="335" t="s">
        <v>214</v>
      </c>
      <c r="E20" s="820" t="s">
        <v>2190</v>
      </c>
      <c r="F20" s="587" t="str">
        <f>IF(Y21="LEEG","▼","")</f>
        <v/>
      </c>
      <c r="G20" s="17"/>
      <c r="H20" s="17"/>
      <c r="I20" s="17"/>
      <c r="J20" s="17"/>
      <c r="K20" s="335" t="s">
        <v>214</v>
      </c>
      <c r="L20" s="821" t="s">
        <v>2193</v>
      </c>
      <c r="M20" s="587" t="str">
        <f>IF(Z21="LEEG","▼","")</f>
        <v/>
      </c>
      <c r="N20" s="17"/>
      <c r="O20" s="17"/>
      <c r="P20" s="17"/>
      <c r="Q20" s="60"/>
      <c r="R20" s="17"/>
      <c r="S20" s="111">
        <v>1</v>
      </c>
      <c r="T20" s="135"/>
      <c r="U20" s="50"/>
      <c r="V20" s="289" t="str">
        <f ca="1">RIGHT(K14,1)</f>
        <v>B</v>
      </c>
      <c r="W20" s="588"/>
      <c r="X20" s="196" t="s">
        <v>220</v>
      </c>
      <c r="Y20" s="144">
        <f>IF(ISBLANK(E20),1,IF(SUBSTITUTE(W16,E20,"#")&lt;&gt;W16,2,IF(SUBSTITUTE(W17,E20,"#")&lt;&gt;W17,3,IF(SUBSTITUTE(W18,E20,"#")&lt;&gt;W18,4,IF(SUBSTITUTE(W19,E20,"#")&lt;&gt;W19,5,6)))))</f>
        <v>4</v>
      </c>
      <c r="Z20" s="144">
        <f>IF(ISBLANK(L20),1,IF(SUBSTITUTE(W21,L20,"#")&lt;&gt;W21,2,IF(SUBSTITUTE(W22,L20,"#")&lt;&gt;W22,3,IF(SUBSTITUTE(W23,L20,"#")&lt;&gt;W23,4,IF(SUBSTITUTE(W24,L20,"#")&lt;&gt;W24,5,6)))))</f>
        <v>4</v>
      </c>
      <c r="AA20" s="64"/>
      <c r="AB20" s="264" t="str">
        <f ca="1">UPPER(Taal04!$B$26)&amp;" "&amp;V20</f>
        <v>GROEP B</v>
      </c>
      <c r="AC20" s="263" t="str">
        <f ca="1">AB20</f>
        <v>GROEP B</v>
      </c>
      <c r="AD20" s="143"/>
      <c r="AE20" s="187" t="str">
        <f ca="1">AB20</f>
        <v>GROEP B</v>
      </c>
      <c r="AF20" s="143"/>
      <c r="AG20" s="143"/>
      <c r="AH20" s="143"/>
      <c r="AI20" s="219"/>
      <c r="AJ20" s="223"/>
      <c r="AL20" s="602" t="str">
        <f>IF(AF6="JA","","└ "&amp;SUBSTITUTE(Taal04!B62,"#",RIGHT(AL16,1)))</f>
        <v/>
      </c>
      <c r="AM20" s="601"/>
      <c r="AP20" s="603"/>
      <c r="AQ20" s="603"/>
    </row>
    <row r="21" spans="2:43" ht="20.100000000000001" customHeight="1" x14ac:dyDescent="0.25">
      <c r="B21" s="17"/>
      <c r="C21" s="949"/>
      <c r="D21" s="1153" t="str">
        <f ca="1">IF($S$12=1,IF($AC$7=1,AB18,IF($AC$11=1,AC18,"")),IF(AND($S$12=2,OR($Y$21="LEEG",$Y$21="ONGELDIG")),IF($AC$7=1,AB18,IF($AC$11=1,AC18,"")),""))</f>
        <v>Hongarije / Zwitserland</v>
      </c>
      <c r="E21" s="1153"/>
      <c r="F21" s="1153"/>
      <c r="G21" s="1153"/>
      <c r="H21" s="1153"/>
      <c r="I21" s="1153"/>
      <c r="J21" s="17"/>
      <c r="K21" s="1153" t="str">
        <f ca="1">IF($S$12=1,IF($AC$7=1,AB23,IF($AC$11=1,AC23,"")),IF(AND($S$12=2,OR($Z$21="LEEG",$Z$21="ONGELDIG")),IF($AC$7=1,AB23,IF($AC$11=1,AC23,"")),""))</f>
        <v>Italië</v>
      </c>
      <c r="L21" s="1153"/>
      <c r="M21" s="1153"/>
      <c r="N21" s="1153"/>
      <c r="O21" s="1153"/>
      <c r="P21" s="1153"/>
      <c r="Q21" s="60"/>
      <c r="R21" s="17"/>
      <c r="S21" s="111">
        <f>S20+1</f>
        <v>2</v>
      </c>
      <c r="T21" s="85" t="str">
        <f ca="1">VLOOKUP(V21,Voorblad!$X$67:$Z$98,2,FALSE)</f>
        <v>Spanje</v>
      </c>
      <c r="U21" s="10" t="str">
        <f ca="1">VLOOKUP(V21,Voorblad!$X$67:$Z$98,3,FALSE)</f>
        <v>ES</v>
      </c>
      <c r="V21" s="292" t="str">
        <f ca="1">V20&amp;1</f>
        <v>B1</v>
      </c>
      <c r="W21" s="589" t="str">
        <f>"|"&amp;Taal02!C12&amp;"|"&amp;Taal02!D12&amp;"|"&amp;Taal02!E12&amp;"|"&amp;Taal02!F12&amp;"|"&amp;Taal02!G12&amp;"|"&amp;Taal02!H12&amp;"|"&amp;Taal02!I12&amp;"|"&amp;Taal02!J12&amp;"|"</f>
        <v>|Spanje|Spain|Spanien|Spanien|||||</v>
      </c>
      <c r="X21" s="196" t="s">
        <v>221</v>
      </c>
      <c r="Y21" s="144" t="str">
        <f>IF(Y20=1, "LEEG",IF(AND(Y20&gt;1,Y20&lt;6,TYPE(Y16+Y18+Y20+Y22)=1),IF(OR(Y20=Y16,Y20=Y18,Y20=Y22),"DUBBEL","GOED"),"ONGELDIG"))</f>
        <v>GOED</v>
      </c>
      <c r="Z21" s="144" t="str">
        <f>IF(Z20=1, "LEEG",IF(AND(Z20&gt;1,Z20&lt;6,TYPE(Z16+Z18+Z20+Z22)=1),IF(OR(Z20=Z16,Z20=Z18,Z20=Z22),"DUBBEL","GOED"),"ONGELDIG"))</f>
        <v>GOED</v>
      </c>
      <c r="AA21" s="263" t="str">
        <f ca="1">RIGHT(V21,1)</f>
        <v>1</v>
      </c>
      <c r="AB21" s="265" t="str">
        <f ca="1">Groepswedstrijden!AA76</f>
        <v>Spanje / Kroatië</v>
      </c>
      <c r="AC21" s="64" t="e">
        <f>#REF!</f>
        <v>#REF!</v>
      </c>
      <c r="AD21" s="143">
        <f ca="1">IF($AC$7=1,VLOOKUP($V21,Groepswedstrijden!$AH$12:$BA$78,20,FALSE),IF($AC$11=1,VLOOKUP($V21,#REF!,20,FALSE),""))</f>
        <v>1</v>
      </c>
      <c r="AE21" s="186" t="str">
        <f ca="1">IF($AC$7=1,VLOOKUP($V21,Groepswedstrijden!$AH$12:$BA$78,3,FALSE),IF($AC$11=1,VLOOKUP($V21,#REF!,3,FALSE),""))</f>
        <v>Spanje</v>
      </c>
      <c r="AF21" s="143">
        <f ca="1">IF($AC$7=1,VLOOKUP($V21,Groepswedstrijden!$AH$12:$BA$78,9,FALSE),IF($AC$11=1,VLOOKUP($V21,#REF!,9,FALSE),""))</f>
        <v>7</v>
      </c>
      <c r="AG21" s="143">
        <f ca="1">IF($AC$7=1,VLOOKUP($V21,Groepswedstrijden!$AH$12:$BA$78,10,FALSE),IF($AC$11=1,VLOOKUP($V21,#REF!,10,FALSE),""))</f>
        <v>7</v>
      </c>
      <c r="AH21" s="143">
        <f ca="1">IF($AC$7=1,VLOOKUP($V21,Groepswedstrijden!$AH$12:$BA$78,11,FALSE),IF($AC$11=1,VLOOKUP($V21,#REF!,11,FALSE),""))</f>
        <v>3</v>
      </c>
      <c r="AI21" s="219">
        <f ca="1">IF($AC$7=1,VLOOKUP($V21,Groepswedstrijden!$AH$12:$BA$78,19,FALSE),IF($AC$11=1,VLOOKUP($V21,#REF!,19,FALSE),""))</f>
        <v>75040703500024</v>
      </c>
      <c r="AJ21" s="224">
        <f ca="1">FLOOR(IF($AD21=1,AI21,IF($AD22=1,AI22,IF($AD23=1,AI23,AI24)))/10,1)</f>
        <v>7504070350002</v>
      </c>
      <c r="AL21" s="1159" t="str">
        <f ca="1">AE20</f>
        <v>GROEP B</v>
      </c>
      <c r="AM21" s="336" t="s">
        <v>67</v>
      </c>
      <c r="AN21" s="337" t="str">
        <f ca="1">IF($AD21=1,AE21,IF($AD22=1,AE22,IF($AD23=1,AE23,AE24)))</f>
        <v>Spanje</v>
      </c>
      <c r="AO21" s="338">
        <f ca="1">IF($AD21=1,AF21,IF($AD22=1,AF22,IF($AD23=1,AF23,AF24)))</f>
        <v>7</v>
      </c>
      <c r="AP21" s="338">
        <f ca="1">IF($AD21=1,AG21,IF($AD22=1,AG22,IF($AD23=1,AG23,AG24)))</f>
        <v>7</v>
      </c>
      <c r="AQ21" s="338">
        <f ca="1">IF($AD21=1,AH21,IF($AD22=1,AH22,IF($AD23=1,AH23,AH24)))</f>
        <v>3</v>
      </c>
    </row>
    <row r="22" spans="2:43" ht="15" customHeight="1" x14ac:dyDescent="0.25">
      <c r="B22" s="17"/>
      <c r="C22" s="949"/>
      <c r="D22" s="335" t="s">
        <v>215</v>
      </c>
      <c r="E22" s="820" t="s">
        <v>2189</v>
      </c>
      <c r="F22" s="587" t="str">
        <f>IF(Y23="LEEG","▼","")</f>
        <v/>
      </c>
      <c r="G22" s="17"/>
      <c r="H22" s="17"/>
      <c r="I22" s="17"/>
      <c r="J22" s="17"/>
      <c r="K22" s="335" t="s">
        <v>215</v>
      </c>
      <c r="L22" s="821" t="s">
        <v>2195</v>
      </c>
      <c r="M22" s="587" t="str">
        <f>IF(Z23="LEEG","▼","")</f>
        <v/>
      </c>
      <c r="N22" s="17"/>
      <c r="O22" s="17"/>
      <c r="P22" s="17"/>
      <c r="Q22" s="60"/>
      <c r="R22" s="17"/>
      <c r="S22" s="111">
        <f>S21+1</f>
        <v>3</v>
      </c>
      <c r="T22" s="85" t="str">
        <f ca="1">VLOOKUP(V22,Voorblad!$X$67:$Z$98,2,FALSE)</f>
        <v>Kroatië</v>
      </c>
      <c r="U22" s="10" t="str">
        <f ca="1">VLOOKUP(V22,Voorblad!$X$67:$Z$98,3,FALSE)</f>
        <v>HR</v>
      </c>
      <c r="V22" s="292" t="str">
        <f ca="1">V20&amp;2</f>
        <v>B2</v>
      </c>
      <c r="W22" s="589" t="str">
        <f>"|"&amp;Taal02!C13&amp;"|"&amp;Taal02!D13&amp;"|"&amp;Taal02!E13&amp;"|"&amp;Taal02!F13&amp;"|"&amp;Taal02!G13&amp;"|"&amp;Taal02!H13&amp;"|"&amp;Taal02!I13&amp;"|"&amp;Taal02!J13&amp;"|"</f>
        <v>|Kroatië|Croatia|Kroatien|Kroatien|||||</v>
      </c>
      <c r="X22" s="196" t="s">
        <v>222</v>
      </c>
      <c r="Y22" s="144">
        <f>IF(ISBLANK(E22),1,IF(SUBSTITUTE(W16,E22,"#")&lt;&gt;W16,2,IF(SUBSTITUTE(W17,E22,"#")&lt;&gt;W17,3,IF(SUBSTITUTE(W18,E22,"#")&lt;&gt;W18,4,IF(SUBSTITUTE(W19,E22,"#")&lt;&gt;W19,5,6)))))</f>
        <v>3</v>
      </c>
      <c r="Z22" s="144">
        <f>IF(ISBLANK(L22),1,IF(SUBSTITUTE(W21,L22,"#")&lt;&gt;W21,2,IF(SUBSTITUTE(W22,L22,"#")&lt;&gt;W22,3,IF(SUBSTITUTE(W23,L22,"#")&lt;&gt;W23,4,IF(SUBSTITUTE(W24,L22,"#")&lt;&gt;W24,5,6)))))</f>
        <v>5</v>
      </c>
      <c r="AA22" s="263" t="str">
        <f ca="1">RIGHT(V22,1)</f>
        <v>2</v>
      </c>
      <c r="AB22" s="265" t="str">
        <f ca="1">Groepswedstrijden!AA77</f>
        <v>Spanje / Kroatië</v>
      </c>
      <c r="AC22" s="64" t="e">
        <f>#REF!</f>
        <v>#REF!</v>
      </c>
      <c r="AD22" s="143">
        <f ca="1">IF($AC$7=1,VLOOKUP($V22,Groepswedstrijden!$AH$12:$BA$78,20,FALSE),IF($AC$11=1,VLOOKUP($V22,#REF!,20,FALSE),""))</f>
        <v>2</v>
      </c>
      <c r="AE22" s="186" t="str">
        <f ca="1">IF($AC$7=1,VLOOKUP($V22,Groepswedstrijden!$AH$12:$BA$78,3,FALSE),IF($AC$11=1,VLOOKUP($V22,#REF!,3,FALSE),""))</f>
        <v>Kroatië</v>
      </c>
      <c r="AF22" s="143">
        <f ca="1">IF($AC$7=1,VLOOKUP($V22,Groepswedstrijden!$AH$12:$BA$78,9,FALSE),IF($AC$11=1,VLOOKUP($V22,#REF!,9,FALSE),""))</f>
        <v>7</v>
      </c>
      <c r="AG22" s="143">
        <f ca="1">IF($AC$7=1,VLOOKUP($V22,Groepswedstrijden!$AH$12:$BA$78,10,FALSE),IF($AC$11=1,VLOOKUP($V22,#REF!,10,FALSE),""))</f>
        <v>5</v>
      </c>
      <c r="AH22" s="143">
        <f ca="1">IF($AC$7=1,VLOOKUP($V22,Groepswedstrijden!$AH$12:$BA$78,11,FALSE),IF($AC$11=1,VLOOKUP($V22,#REF!,11,FALSE),""))</f>
        <v>2</v>
      </c>
      <c r="AI22" s="219">
        <f ca="1">IF($AC$7=1,VLOOKUP($V22,Groepswedstrijden!$AH$12:$BA$78,19,FALSE),IF($AC$11=1,VLOOKUP($V22,#REF!,19,FALSE),""))</f>
        <v>75030503500023</v>
      </c>
      <c r="AJ22" s="224">
        <f ca="1">FLOOR(IF($AD21=2,AI21,IF($AD22=2,AI22,IF($AD23=2,AI23,AI24)))/10,1)</f>
        <v>7503050350002</v>
      </c>
      <c r="AL22" s="1160"/>
      <c r="AM22" s="339" t="str">
        <f ca="1">IF(AJ22=AJ21,"","2.")</f>
        <v>2.</v>
      </c>
      <c r="AN22" s="340" t="str">
        <f ca="1">IF($AD21=2,AE21,IF($AD22=2,AE22,IF($AD23=2,AE23,AE24)))</f>
        <v>Kroatië</v>
      </c>
      <c r="AO22" s="341">
        <f ca="1">IF($AD21=2,AF21,IF($AD22=2,AF22,IF($AD23=2,AF23,AF24)))</f>
        <v>7</v>
      </c>
      <c r="AP22" s="341">
        <f ca="1">IF($AD21=2,AG21,IF($AD22=2,AG22,IF($AD23=2,AG23,AG24)))</f>
        <v>5</v>
      </c>
      <c r="AQ22" s="341">
        <f ca="1">IF($AD21=2,AH21,IF($AD22=2,AH22,IF($AD23=2,AH23,AH24)))</f>
        <v>2</v>
      </c>
    </row>
    <row r="23" spans="2:43" ht="20.100000000000001" customHeight="1" x14ac:dyDescent="0.25">
      <c r="B23" s="17"/>
      <c r="C23" s="949"/>
      <c r="D23" s="1153" t="str">
        <f ca="1">IF($S$12=1,IF($AC$7=1,AB19,IF($AC$11=1,AC19,"")),IF(AND($S$12=2,OR($Y$23="LEEG",$Y$23="ONGELDIG")),IF($AC$7=1,AB19,IF($AC$11=1,AC19,"")),""))</f>
        <v>Schotland</v>
      </c>
      <c r="E23" s="1153"/>
      <c r="F23" s="1153"/>
      <c r="G23" s="1153"/>
      <c r="H23" s="1153"/>
      <c r="I23" s="1153"/>
      <c r="J23" s="17"/>
      <c r="K23" s="1153" t="str">
        <f ca="1">IF($S$12=1,IF($AC$7=1,AB24,IF($AC$11=1,AC24,"")),IF(AND($S$12=2,OR($Z$23="LEEG",$Z$23="ONGELDIG")),IF($AC$7=1,AB24,IF($AC$11=1,AC24,"")),""))</f>
        <v>Albanië</v>
      </c>
      <c r="L23" s="1153"/>
      <c r="M23" s="1153"/>
      <c r="N23" s="1153"/>
      <c r="O23" s="1153"/>
      <c r="P23" s="1153"/>
      <c r="Q23" s="60"/>
      <c r="R23" s="17"/>
      <c r="S23" s="111">
        <f>S22+1</f>
        <v>4</v>
      </c>
      <c r="T23" s="85" t="str">
        <f ca="1">VLOOKUP(V23,Voorblad!$X$67:$Z$98,2,FALSE)</f>
        <v>Italië</v>
      </c>
      <c r="U23" s="10" t="str">
        <f ca="1">VLOOKUP(V23,Voorblad!$X$67:$Z$98,3,FALSE)</f>
        <v>IT</v>
      </c>
      <c r="V23" s="292" t="str">
        <f ca="1">V20&amp;3</f>
        <v>B3</v>
      </c>
      <c r="W23" s="589" t="str">
        <f>"|"&amp;Taal02!C14&amp;"|"&amp;Taal02!D14&amp;"|"&amp;Taal02!E14&amp;"|"&amp;Taal02!F14&amp;"|"&amp;Taal02!G14&amp;"|"&amp;Taal02!H14&amp;"|"&amp;Taal02!I14&amp;"|"&amp;Taal02!J14&amp;"|"</f>
        <v>|Italië|Italy|Italien|Italien|||||</v>
      </c>
      <c r="X23" s="196" t="s">
        <v>223</v>
      </c>
      <c r="Y23" s="144" t="str">
        <f>IF(Y22=1, "LEEG",IF(AND(Y22&gt;1,Y22&lt;6,TYPE(Y16+Y18+Y20+Y22)=1),IF(OR(Y22=Y16,Y22=Y18,Y22=Y20),"DUBBEL","GOED"),"ONGELDIG"))</f>
        <v>GOED</v>
      </c>
      <c r="Z23" s="144" t="str">
        <f>IF(Z22=1, "LEEG",IF(AND(Z22&gt;1,Z22&lt;6,TYPE(Z16+Z18+Z20+Z22)=1),IF(OR(Z22=Z16,Z22=Z18,Z22=Z20),"DUBBEL","GOED"),"ONGELDIG"))</f>
        <v>GOED</v>
      </c>
      <c r="AA23" s="263" t="str">
        <f ca="1">RIGHT(V23,1)</f>
        <v>3</v>
      </c>
      <c r="AB23" s="265" t="str">
        <f ca="1">Groepswedstrijden!AA78</f>
        <v>Italië</v>
      </c>
      <c r="AC23" s="64" t="e">
        <f>#REF!</f>
        <v>#REF!</v>
      </c>
      <c r="AD23" s="143">
        <f ca="1">IF($AC$7=1,VLOOKUP($V23,Groepswedstrijden!$AH$12:$BA$78,20,FALSE),IF($AC$11=1,VLOOKUP($V23,#REF!,20,FALSE),""))</f>
        <v>3</v>
      </c>
      <c r="AE23" s="186" t="str">
        <f ca="1">IF($AC$7=1,VLOOKUP($V23,Groepswedstrijden!$AH$12:$BA$78,3,FALSE),IF($AC$11=1,VLOOKUP($V23,#REF!,3,FALSE),""))</f>
        <v>Italië</v>
      </c>
      <c r="AF23" s="143">
        <f ca="1">IF($AC$7=1,VLOOKUP($V23,Groepswedstrijden!$AH$12:$BA$78,9,FALSE),IF($AC$11=1,VLOOKUP($V23,#REF!,9,FALSE),""))</f>
        <v>3</v>
      </c>
      <c r="AG23" s="143">
        <f ca="1">IF($AC$7=1,VLOOKUP($V23,Groepswedstrijden!$AH$12:$BA$78,10,FALSE),IF($AC$11=1,VLOOKUP($V23,#REF!,10,FALSE),""))</f>
        <v>3</v>
      </c>
      <c r="AH23" s="143">
        <f ca="1">IF($AC$7=1,VLOOKUP($V23,Groepswedstrijden!$AH$12:$BA$78,11,FALSE),IF($AC$11=1,VLOOKUP($V23,#REF!,11,FALSE),""))</f>
        <v>4</v>
      </c>
      <c r="AI23" s="219">
        <f ca="1">IF($AC$7=1,VLOOKUP($V23,Groepswedstrijden!$AH$12:$BA$78,19,FALSE),IF($AC$11=1,VLOOKUP($V23,#REF!,19,FALSE),""))</f>
        <v>34990303500002</v>
      </c>
      <c r="AJ23" s="224">
        <f ca="1">FLOOR(IF($AD21=3,AI21,IF($AD22=3,AI22,IF($AD23=3,AI23,AI24)))/10,1)</f>
        <v>3499030350000</v>
      </c>
      <c r="AL23" s="1160"/>
      <c r="AM23" s="339" t="str">
        <f ca="1">IF(AJ23=AJ22,"","3.")</f>
        <v>3.</v>
      </c>
      <c r="AN23" s="340" t="str">
        <f ca="1">IF($AD21=3,AE21,IF($AD22=3,AE22,IF($AD23=3,AE23,AE24)))</f>
        <v>Italië</v>
      </c>
      <c r="AO23" s="341">
        <f ca="1">IF($AD21=3,AF21,IF($AD22=3,AF22,IF($AD23=3,AF23,AF24)))</f>
        <v>3</v>
      </c>
      <c r="AP23" s="341">
        <f ca="1">IF($AD21=3,AG21,IF($AD22=3,AG22,IF($AD23=3,AG23,AG24)))</f>
        <v>3</v>
      </c>
      <c r="AQ23" s="341">
        <f ca="1">IF($AD21=3,AH21,IF($AD22=3,AH22,IF($AD23=3,AH23,AH24)))</f>
        <v>4</v>
      </c>
    </row>
    <row r="24" spans="2:43" ht="15" customHeight="1" x14ac:dyDescent="0.25">
      <c r="B24" s="17"/>
      <c r="C24" s="949"/>
      <c r="D24" s="1157" t="str">
        <f ca="1">Taal04!$B$26&amp;" C"</f>
        <v>Groep C</v>
      </c>
      <c r="E24" s="1157"/>
      <c r="F24" s="17"/>
      <c r="G24" s="17"/>
      <c r="H24" s="17"/>
      <c r="I24" s="17"/>
      <c r="J24" s="17"/>
      <c r="K24" s="1157" t="str">
        <f ca="1">Taal04!$B$26&amp;" D"</f>
        <v>Groep D</v>
      </c>
      <c r="L24" s="1157"/>
      <c r="M24" s="17"/>
      <c r="N24" s="17"/>
      <c r="O24" s="17"/>
      <c r="P24" s="17"/>
      <c r="Q24" s="60"/>
      <c r="R24" s="17"/>
      <c r="S24" s="111">
        <f>S23+1</f>
        <v>5</v>
      </c>
      <c r="T24" s="136" t="str">
        <f ca="1">VLOOKUP(V24,Voorblad!$X$67:$Z$98,2,FALSE)</f>
        <v>Albanië</v>
      </c>
      <c r="U24" s="53" t="str">
        <f ca="1">VLOOKUP(V24,Voorblad!$X$67:$Z$98,3,FALSE)</f>
        <v>AL</v>
      </c>
      <c r="V24" s="295" t="str">
        <f ca="1">V20&amp;4</f>
        <v>B4</v>
      </c>
      <c r="W24" s="589" t="str">
        <f>"|"&amp;Taal02!C15&amp;"|"&amp;Taal02!D15&amp;"|"&amp;Taal02!E15&amp;"|"&amp;Taal02!F15&amp;"|"&amp;Taal02!G15&amp;"|"&amp;Taal02!H15&amp;"|"&amp;Taal02!I15&amp;"|"&amp;Taal02!J15&amp;"|"</f>
        <v>|Albanië|Albania|Albanien|Albanien|||||</v>
      </c>
      <c r="X24" s="196" t="s">
        <v>224</v>
      </c>
      <c r="Y24" s="405" t="str">
        <f>IF(TYPE(1*((Y16+Y18+Y20+Y22)&amp;(Y16*Y18*Y20*Y22)))=1,(Y16+Y18+Y20+Y22)&amp;(Y16*Y18*Y20*Y22),14120)</f>
        <v>14120</v>
      </c>
      <c r="Z24" s="405" t="str">
        <f>IF(TYPE(1*((Z16+Z18+Z20+Z22)&amp;(Z16*Z18*Z20*Z22)))=1,(Z16+Z18+Z20+Z22)&amp;(Z16*Z18*Z20*Z22),14120)</f>
        <v>14120</v>
      </c>
      <c r="AA24" s="263" t="str">
        <f ca="1">RIGHT(V24,1)</f>
        <v>4</v>
      </c>
      <c r="AB24" s="265" t="str">
        <f ca="1">Groepswedstrijden!AA79</f>
        <v>Albanië</v>
      </c>
      <c r="AC24" s="64" t="e">
        <f>#REF!</f>
        <v>#REF!</v>
      </c>
      <c r="AD24" s="143">
        <f ca="1">IF($AC$7=1,VLOOKUP($V24,Groepswedstrijden!$AH$12:$BA$78,20,FALSE),IF($AC$11=1,VLOOKUP($V24,#REF!,20,FALSE),""))</f>
        <v>4</v>
      </c>
      <c r="AE24" s="186" t="str">
        <f ca="1">IF($AC$7=1,VLOOKUP($V24,Groepswedstrijden!$AH$12:$BA$78,3,FALSE),IF($AC$11=1,VLOOKUP($V24,#REF!,3,FALSE),""))</f>
        <v>Albanië</v>
      </c>
      <c r="AF24" s="143">
        <f ca="1">IF($AC$7=1,VLOOKUP($V24,Groepswedstrijden!$AH$12:$BA$78,9,FALSE),IF($AC$11=1,VLOOKUP($V24,#REF!,9,FALSE),""))</f>
        <v>0</v>
      </c>
      <c r="AG24" s="143">
        <f ca="1">IF($AC$7=1,VLOOKUP($V24,Groepswedstrijden!$AH$12:$BA$78,10,FALSE),IF($AC$11=1,VLOOKUP($V24,#REF!,10,FALSE),""))</f>
        <v>1</v>
      </c>
      <c r="AH24" s="143">
        <f ca="1">IF($AC$7=1,VLOOKUP($V24,Groepswedstrijden!$AH$12:$BA$78,11,FALSE),IF($AC$11=1,VLOOKUP($V24,#REF!,11,FALSE),""))</f>
        <v>7</v>
      </c>
      <c r="AI24" s="219">
        <f ca="1">IF($AC$7=1,VLOOKUP($V24,Groepswedstrijden!$AH$12:$BA$78,19,FALSE),IF($AC$11=1,VLOOKUP($V24,#REF!,19,FALSE),""))</f>
        <v>4940103500001</v>
      </c>
      <c r="AJ24" s="224">
        <f ca="1">FLOOR(IF($AD21=4,AI21,IF($AD22=4,AI22,IF($AD23=4,AI23,AI24)))/10,1)</f>
        <v>494010350000</v>
      </c>
      <c r="AL24" s="1161"/>
      <c r="AM24" s="342" t="str">
        <f ca="1">IF(AJ24=AJ23,"","4.")</f>
        <v>4.</v>
      </c>
      <c r="AN24" s="343" t="str">
        <f ca="1">IF($AD21=4,AE21,IF($AD22=4,AE22,IF($AD23=4,AE23,AE24)))</f>
        <v>Albanië</v>
      </c>
      <c r="AO24" s="344">
        <f ca="1">IF($AD21=4,AF21,IF($AD22=4,AF22,IF($AD23=4,AF23,AF24)))</f>
        <v>0</v>
      </c>
      <c r="AP24" s="344">
        <f ca="1">IF($AD21=4,AG21,IF($AD22=4,AG22,IF($AD23=4,AG23,AG24)))</f>
        <v>1</v>
      </c>
      <c r="AQ24" s="344">
        <f ca="1">IF($AD21=4,AH21,IF($AD22=4,AH22,IF($AD23=4,AH23,AH24)))</f>
        <v>7</v>
      </c>
    </row>
    <row r="25" spans="2:43" ht="15" customHeight="1" x14ac:dyDescent="0.25">
      <c r="B25" s="17"/>
      <c r="C25" s="949"/>
      <c r="D25" s="1158"/>
      <c r="E25" s="1158"/>
      <c r="F25" s="17"/>
      <c r="G25" s="17"/>
      <c r="H25" s="17"/>
      <c r="I25" s="17"/>
      <c r="J25" s="17"/>
      <c r="K25" s="1158"/>
      <c r="L25" s="1158"/>
      <c r="M25" s="17"/>
      <c r="N25" s="17"/>
      <c r="O25" s="17"/>
      <c r="P25" s="17"/>
      <c r="Q25" s="60"/>
      <c r="R25" s="17"/>
      <c r="S25" s="111">
        <v>1</v>
      </c>
      <c r="T25" s="135"/>
      <c r="U25" s="137"/>
      <c r="V25" s="289" t="str">
        <f ca="1">RIGHT(D24,1)</f>
        <v>C</v>
      </c>
      <c r="W25" s="588"/>
      <c r="X25" s="196" t="str">
        <f ca="1">"Deelnamecode "&amp;V25&amp;"/"&amp;V30</f>
        <v>Deelnamecode C/D</v>
      </c>
      <c r="Y25" s="162" t="str">
        <f ca="1">IF(AND(TYPE(Y26)=1,TYPE(Y28)=1,TYPE(Y30)=1,TYPE(Y32)=1),IF(AND(Y27="GOED",Y29="GOED",Y31="GOED",Y33="GOED"),LOOKUP(Y26,S26:S29,U26:U29)&amp;"."&amp;LOOKUP(Y28,S26:S29,U26:U29)&amp;"."&amp;LOOKUP(Y30,S26:S29,U26:U29)&amp;"."&amp;LOOKUP(Y32,S26:S29,U26:U29)&amp;"|","FOUT"),"ONGELDIG")</f>
        <v>GB.DK.RS.SI|</v>
      </c>
      <c r="Z25" s="162" t="str">
        <f ca="1">IF(AND(TYPE(Z26)=1,TYPE(Z28)=1,TYPE(Z30)=1,TYPE(Z32)=1),IF(AND(Z27="GOED",Z29="GOED",Z31="GOED",Z33="GOED"),LOOKUP(Z26,S31:S34,U31:U34)&amp;"."&amp;LOOKUP(Z28,S31:S34,U31:U34)&amp;"."&amp;LOOKUP(Z30,S31:S34,U31:U34)&amp;"."&amp;LOOKUP(Z32,S31:S34,U31:U34)&amp;"|","FOUT"),"ONGELDIG")</f>
        <v>FR.NL.AT.PL|</v>
      </c>
      <c r="AA25" s="64"/>
      <c r="AB25" s="264" t="str">
        <f ca="1">UPPER(Taal04!$B$26)&amp;" "&amp;V25</f>
        <v>GROEP C</v>
      </c>
      <c r="AC25" s="263" t="str">
        <f ca="1">AB25</f>
        <v>GROEP C</v>
      </c>
      <c r="AD25" s="143"/>
      <c r="AE25" s="187" t="str">
        <f ca="1">AB25</f>
        <v>GROEP C</v>
      </c>
      <c r="AF25" s="143"/>
      <c r="AG25" s="143"/>
      <c r="AH25" s="143"/>
      <c r="AI25" s="219"/>
      <c r="AJ25" s="223"/>
      <c r="AL25" s="602" t="str">
        <f>IF(AH6="JA","","└ "&amp;SUBSTITUTE(Taal04!B62,"#",RIGHT(AL21,1)))</f>
        <v/>
      </c>
    </row>
    <row r="26" spans="2:43" ht="15" customHeight="1" x14ac:dyDescent="0.25">
      <c r="B26" s="17"/>
      <c r="C26" s="949"/>
      <c r="D26" s="335" t="s">
        <v>212</v>
      </c>
      <c r="E26" s="820" t="s">
        <v>854</v>
      </c>
      <c r="F26" s="587" t="str">
        <f>IF(Y27="LEEG","▼","")</f>
        <v/>
      </c>
      <c r="G26" s="17"/>
      <c r="H26" s="741"/>
      <c r="I26" s="741"/>
      <c r="J26" s="17"/>
      <c r="K26" s="335" t="s">
        <v>212</v>
      </c>
      <c r="L26" s="821" t="s">
        <v>465</v>
      </c>
      <c r="M26" s="587" t="str">
        <f>IF(Z27="LEEG","▼","")</f>
        <v/>
      </c>
      <c r="N26" s="17"/>
      <c r="O26" s="741"/>
      <c r="P26" s="741"/>
      <c r="Q26" s="60"/>
      <c r="R26" s="17"/>
      <c r="S26" s="111">
        <f>S25+1</f>
        <v>2</v>
      </c>
      <c r="T26" s="85" t="str">
        <f ca="1">VLOOKUP(V26,Voorblad!$X$67:$Z$98,2,FALSE)</f>
        <v>Slovenië</v>
      </c>
      <c r="U26" s="10" t="str">
        <f ca="1">VLOOKUP(V26,Voorblad!$X$67:$Z$98,3,FALSE)</f>
        <v>SI</v>
      </c>
      <c r="V26" s="292" t="str">
        <f ca="1">V25&amp;1</f>
        <v>C1</v>
      </c>
      <c r="W26" s="589" t="str">
        <f>"|"&amp;Taal02!C17&amp;"|"&amp;Taal02!D17&amp;"|"&amp;Taal02!E17&amp;"|"&amp;Taal02!F17&amp;"|"&amp;Taal02!G17&amp;"|"&amp;Taal02!H17&amp;"|"&amp;Taal02!I17&amp;"|"&amp;Taal02!J17&amp;"|"</f>
        <v>|Slovenië|Slovenia|Slowenien|Slovenien|||||</v>
      </c>
      <c r="X26" s="196" t="s">
        <v>216</v>
      </c>
      <c r="Y26" s="144">
        <f>IF(ISBLANK(E26),1,IF(SUBSTITUTE(W26,E26,"#")&lt;&gt;W26,2,IF(SUBSTITUTE(W27,E26,"#")&lt;&gt;W27,3,IF(SUBSTITUTE(W28,E26,"#")&lt;&gt;W28,4,IF(SUBSTITUTE(W29,E26,"#")&lt;&gt;W29,5,6)))))</f>
        <v>5</v>
      </c>
      <c r="Z26" s="144">
        <f>IF(ISBLANK(L26),1,IF(SUBSTITUTE(W31,L26,"#")&lt;&gt;W31,2,IF(SUBSTITUTE(W32,L26,"#")&lt;&gt;W32,3,IF(SUBSTITUTE(W33,L26,"#")&lt;&gt;W33,4,IF(SUBSTITUTE(W34,L26,"#")&lt;&gt;W34,5,6)))))</f>
        <v>5</v>
      </c>
      <c r="AA26" s="263" t="str">
        <f ca="1">RIGHT(V26,1)</f>
        <v>1</v>
      </c>
      <c r="AB26" s="265" t="str">
        <f ca="1">Groepswedstrijden!AB76</f>
        <v>Engeland</v>
      </c>
      <c r="AC26" s="64" t="e">
        <f>#REF!</f>
        <v>#REF!</v>
      </c>
      <c r="AD26" s="143">
        <f ca="1">IF($AC$7=1,VLOOKUP($V26,Groepswedstrijden!$AH$12:$BA$78,20,FALSE),IF($AC$11=1,VLOOKUP($V26,#REF!,20,FALSE),""))</f>
        <v>4</v>
      </c>
      <c r="AE26" s="186" t="str">
        <f ca="1">IF($AC$7=1,VLOOKUP($V26,Groepswedstrijden!$AH$12:$BA$78,3,FALSE),IF($AC$11=1,VLOOKUP($V26,#REF!,3,FALSE),""))</f>
        <v>Slovenië</v>
      </c>
      <c r="AF26" s="143">
        <f ca="1">IF($AC$7=1,VLOOKUP($V26,Groepswedstrijden!$AH$12:$BA$78,9,FALSE),IF($AC$11=1,VLOOKUP($V26,#REF!,9,FALSE),""))</f>
        <v>0</v>
      </c>
      <c r="AG26" s="143">
        <f ca="1">IF($AC$7=1,VLOOKUP($V26,Groepswedstrijden!$AH$12:$BA$78,10,FALSE),IF($AC$11=1,VLOOKUP($V26,#REF!,10,FALSE),""))</f>
        <v>1</v>
      </c>
      <c r="AH26" s="143">
        <f ca="1">IF($AC$7=1,VLOOKUP($V26,Groepswedstrijden!$AH$12:$BA$78,11,FALSE),IF($AC$11=1,VLOOKUP($V26,#REF!,11,FALSE),""))</f>
        <v>7</v>
      </c>
      <c r="AI26" s="219">
        <f ca="1">IF($AC$7=1,VLOOKUP($V26,Groepswedstrijden!$AH$12:$BA$78,19,FALSE),IF($AC$11=1,VLOOKUP($V26,#REF!,19,FALSE),""))</f>
        <v>4940103500004</v>
      </c>
      <c r="AJ26" s="224">
        <f ca="1">FLOOR(IF($AD26=1,AI26,IF($AD27=1,AI27,IF($AD28=1,AI28,AI29)))/10,1)</f>
        <v>9507090350000</v>
      </c>
      <c r="AL26" s="1159" t="str">
        <f ca="1">AE25</f>
        <v>GROEP C</v>
      </c>
      <c r="AM26" s="336" t="s">
        <v>67</v>
      </c>
      <c r="AN26" s="337" t="str">
        <f ca="1">IF($AD26=1,AE26,IF($AD27=1,AE27,IF($AD28=1,AE28,AE29)))</f>
        <v>Engeland</v>
      </c>
      <c r="AO26" s="338">
        <f ca="1">IF($AD26=1,AF26,IF($AD27=1,AF27,IF($AD28=1,AF28,AF29)))</f>
        <v>9</v>
      </c>
      <c r="AP26" s="338">
        <f ca="1">IF($AD26=1,AG26,IF($AD27=1,AG27,IF($AD28=1,AG28,AG29)))</f>
        <v>9</v>
      </c>
      <c r="AQ26" s="338">
        <f ca="1">IF($AD26=1,AH26,IF($AD27=1,AH27,IF($AD28=1,AH28,AH29)))</f>
        <v>2</v>
      </c>
    </row>
    <row r="27" spans="2:43" ht="20.100000000000001" customHeight="1" x14ac:dyDescent="0.25">
      <c r="B27" s="17"/>
      <c r="C27" s="949"/>
      <c r="D27" s="1153" t="str">
        <f ca="1">IF($S$12=1,IF($AC$7=1,AB26,IF($AC$11=1,AC26,"")),IF(AND($S$12=2,OR($Y$27="LEEG",$Y$27="ONGELDIG")),IF($AC$7=1,AB26,IF($AC$11=1,AC26,"")),""))</f>
        <v>Engeland</v>
      </c>
      <c r="E27" s="1153"/>
      <c r="F27" s="1153"/>
      <c r="G27" s="1153"/>
      <c r="H27" s="1153"/>
      <c r="I27" s="1153"/>
      <c r="J27" s="17"/>
      <c r="K27" s="1153" t="str">
        <f ca="1">IF($S$12=1,IF($AC$7=1,AB31,IF($AC$11=1,AC31,"")),IF(AND($S$12=2,OR($Z$27="LEEG",$Z$27="ONGELDIG")),IF($AC$7=1,AB31,IF($AC$11=1,AC31,"")),""))</f>
        <v>Frankrijk</v>
      </c>
      <c r="L27" s="1153"/>
      <c r="M27" s="1153"/>
      <c r="N27" s="1153"/>
      <c r="O27" s="1153"/>
      <c r="P27" s="1153"/>
      <c r="Q27" s="60"/>
      <c r="R27" s="17"/>
      <c r="S27" s="111">
        <f>S26+1</f>
        <v>3</v>
      </c>
      <c r="T27" s="85" t="str">
        <f ca="1">VLOOKUP(V27,Voorblad!$X$67:$Z$98,2,FALSE)</f>
        <v>Denemarken</v>
      </c>
      <c r="U27" s="10" t="str">
        <f ca="1">VLOOKUP(V27,Voorblad!$X$67:$Z$98,3,FALSE)</f>
        <v>DK</v>
      </c>
      <c r="V27" s="292" t="str">
        <f ca="1">V25&amp;2</f>
        <v>C2</v>
      </c>
      <c r="W27" s="589" t="str">
        <f>"|"&amp;Taal02!C18&amp;"|"&amp;Taal02!D18&amp;"|"&amp;Taal02!E18&amp;"|"&amp;Taal02!F18&amp;"|"&amp;Taal02!G18&amp;"|"&amp;Taal02!H18&amp;"|"&amp;Taal02!I18&amp;"|"&amp;Taal02!J18&amp;"|"</f>
        <v>|Denemarken|Denmark|Dänemark|Danmark|||||</v>
      </c>
      <c r="X27" s="196" t="s">
        <v>217</v>
      </c>
      <c r="Y27" s="144" t="str">
        <f>IF(Y26=1, "LEEG",IF(AND(Y26&gt;1,Y26&lt;6,TYPE(Y26+Y28+Y30+Y32)=1),IF(OR(Y26=Y28,Y26=Y30,Y26=Y32),"DUBBEL","GOED"),"ONGELDIG"))</f>
        <v>GOED</v>
      </c>
      <c r="Z27" s="144" t="str">
        <f>IF(Z26=1, "LEEG",IF(AND(Z26&gt;1,Z26&lt;6,TYPE(Z26+Z28+Z30+Z32)=1),IF(OR(Z26=Z28,Z26=Z30,Z26=Z32),"DUBBEL","GOED"),"ONGELDIG"))</f>
        <v>GOED</v>
      </c>
      <c r="AA27" s="263" t="str">
        <f ca="1">RIGHT(V27,1)</f>
        <v>2</v>
      </c>
      <c r="AB27" s="265" t="str">
        <f ca="1">Groepswedstrijden!AB77</f>
        <v>Denemarken / Servië</v>
      </c>
      <c r="AC27" s="64" t="e">
        <f>#REF!</f>
        <v>#REF!</v>
      </c>
      <c r="AD27" s="143">
        <f ca="1">IF($AC$7=1,VLOOKUP($V27,Groepswedstrijden!$AH$12:$BA$78,20,FALSE),IF($AC$11=1,VLOOKUP($V27,#REF!,20,FALSE),""))</f>
        <v>2</v>
      </c>
      <c r="AE27" s="186" t="str">
        <f ca="1">IF($AC$7=1,VLOOKUP($V27,Groepswedstrijden!$AH$12:$BA$78,3,FALSE),IF($AC$11=1,VLOOKUP($V27,#REF!,3,FALSE),""))</f>
        <v>Denemarken</v>
      </c>
      <c r="AF27" s="143">
        <f ca="1">IF($AC$7=1,VLOOKUP($V27,Groepswedstrijden!$AH$12:$BA$78,9,FALSE),IF($AC$11=1,VLOOKUP($V27,#REF!,9,FALSE),""))</f>
        <v>4</v>
      </c>
      <c r="AG27" s="143">
        <f ca="1">IF($AC$7=1,VLOOKUP($V27,Groepswedstrijden!$AH$12:$BA$78,10,FALSE),IF($AC$11=1,VLOOKUP($V27,#REF!,10,FALSE),""))</f>
        <v>3</v>
      </c>
      <c r="AH27" s="143">
        <f ca="1">IF($AC$7=1,VLOOKUP($V27,Groepswedstrijden!$AH$12:$BA$78,11,FALSE),IF($AC$11=1,VLOOKUP($V27,#REF!,11,FALSE),""))</f>
        <v>3</v>
      </c>
      <c r="AI27" s="219">
        <f ca="1">IF($AC$7=1,VLOOKUP($V27,Groepswedstrijden!$AH$12:$BA$78,19,FALSE),IF($AC$11=1,VLOOKUP($V27,#REF!,19,FALSE),""))</f>
        <v>45000303500011</v>
      </c>
      <c r="AJ27" s="224">
        <f ca="1">FLOOR(IF($AD26=2,AI26,IF($AD27=2,AI27,IF($AD28=2,AI28,AI29)))/10,1)</f>
        <v>4500030350001</v>
      </c>
      <c r="AL27" s="1160"/>
      <c r="AM27" s="339" t="str">
        <f ca="1">IF(AJ27=AJ26,"","2.")</f>
        <v>2.</v>
      </c>
      <c r="AN27" s="340" t="str">
        <f ca="1">IF($AD26=2,AE26,IF($AD27=2,AE27,IF($AD28=2,AE28,AE29)))</f>
        <v>Denemarken</v>
      </c>
      <c r="AO27" s="341">
        <f ca="1">IF($AD26=2,AF26,IF($AD27=2,AF27,IF($AD28=2,AF28,AF29)))</f>
        <v>4</v>
      </c>
      <c r="AP27" s="341">
        <f ca="1">IF($AD26=2,AG26,IF($AD27=2,AG27,IF($AD28=2,AG28,AG29)))</f>
        <v>3</v>
      </c>
      <c r="AQ27" s="341">
        <f ca="1">IF($AD26=2,AH26,IF($AD27=2,AH27,IF($AD28=2,AH28,AH29)))</f>
        <v>3</v>
      </c>
    </row>
    <row r="28" spans="2:43" ht="15" customHeight="1" x14ac:dyDescent="0.25">
      <c r="B28" s="17"/>
      <c r="C28" s="949"/>
      <c r="D28" s="335" t="s">
        <v>213</v>
      </c>
      <c r="E28" s="820" t="s">
        <v>852</v>
      </c>
      <c r="F28" s="587" t="str">
        <f>IF(Y29="LEEG","▼","")</f>
        <v/>
      </c>
      <c r="G28" s="17"/>
      <c r="H28" s="17"/>
      <c r="I28" s="17"/>
      <c r="J28" s="17"/>
      <c r="K28" s="335" t="s">
        <v>213</v>
      </c>
      <c r="L28" s="821" t="s">
        <v>853</v>
      </c>
      <c r="M28" s="587" t="str">
        <f>IF(Z29="LEEG","▼","")</f>
        <v/>
      </c>
      <c r="N28" s="17"/>
      <c r="O28" s="17"/>
      <c r="P28" s="17"/>
      <c r="Q28" s="60"/>
      <c r="R28" s="17"/>
      <c r="S28" s="111">
        <f>S27+1</f>
        <v>4</v>
      </c>
      <c r="T28" s="85" t="str">
        <f ca="1">VLOOKUP(V28,Voorblad!$X$67:$Z$98,2,FALSE)</f>
        <v>Servië</v>
      </c>
      <c r="U28" s="10" t="str">
        <f ca="1">VLOOKUP(V28,Voorblad!$X$67:$Z$98,3,FALSE)</f>
        <v>RS</v>
      </c>
      <c r="V28" s="292" t="str">
        <f ca="1">V25&amp;3</f>
        <v>C3</v>
      </c>
      <c r="W28" s="589" t="str">
        <f>"|"&amp;Taal02!C19&amp;"|"&amp;Taal02!D19&amp;"|"&amp;Taal02!E19&amp;"|"&amp;Taal02!F19&amp;"|"&amp;Taal02!G19&amp;"|"&amp;Taal02!H19&amp;"|"&amp;Taal02!I19&amp;"|"&amp;Taal02!J19&amp;"|"</f>
        <v>|Servië|Serbia|Serbien|Serbien|||||</v>
      </c>
      <c r="X28" s="196" t="s">
        <v>218</v>
      </c>
      <c r="Y28" s="144">
        <f>IF(ISBLANK(E28),1,IF(SUBSTITUTE(W26,E28,"#")&lt;&gt;W26,2,IF(SUBSTITUTE(W27,E28,"#")&lt;&gt;W27,3,IF(SUBSTITUTE(W28,E28,"#")&lt;&gt;W28,4,IF(SUBSTITUTE(W29,E28,"#")&lt;&gt;W29,5,6)))))</f>
        <v>3</v>
      </c>
      <c r="Z28" s="144">
        <f>IF(ISBLANK(L28),1,IF(SUBSTITUTE(W31,L28,"#")&lt;&gt;W31,2,IF(SUBSTITUTE(W32,L28,"#")&lt;&gt;W32,3,IF(SUBSTITUTE(W33,L28,"#")&lt;&gt;W33,4,IF(SUBSTITUTE(W34,L28,"#")&lt;&gt;W34,5,6)))))</f>
        <v>3</v>
      </c>
      <c r="AA28" s="263" t="str">
        <f ca="1">RIGHT(V28,1)</f>
        <v>3</v>
      </c>
      <c r="AB28" s="265" t="str">
        <f ca="1">Groepswedstrijden!AB78</f>
        <v>Denemarken / Servië</v>
      </c>
      <c r="AC28" s="64" t="e">
        <f>#REF!</f>
        <v>#REF!</v>
      </c>
      <c r="AD28" s="143">
        <f ca="1">IF($AC$7=1,VLOOKUP($V28,Groepswedstrijden!$AH$12:$BA$78,20,FALSE),IF($AC$11=1,VLOOKUP($V28,#REF!,20,FALSE),""))</f>
        <v>3</v>
      </c>
      <c r="AE28" s="186" t="str">
        <f ca="1">IF($AC$7=1,VLOOKUP($V28,Groepswedstrijden!$AH$12:$BA$78,3,FALSE),IF($AC$11=1,VLOOKUP($V28,#REF!,3,FALSE),""))</f>
        <v>Servië</v>
      </c>
      <c r="AF28" s="143">
        <f ca="1">IF($AC$7=1,VLOOKUP($V28,Groepswedstrijden!$AH$12:$BA$78,9,FALSE),IF($AC$11=1,VLOOKUP($V28,#REF!,9,FALSE),""))</f>
        <v>4</v>
      </c>
      <c r="AG28" s="143">
        <f ca="1">IF($AC$7=1,VLOOKUP($V28,Groepswedstrijden!$AH$12:$BA$78,10,FALSE),IF($AC$11=1,VLOOKUP($V28,#REF!,10,FALSE),""))</f>
        <v>4</v>
      </c>
      <c r="AH28" s="143">
        <f ca="1">IF($AC$7=1,VLOOKUP($V28,Groepswedstrijden!$AH$12:$BA$78,11,FALSE),IF($AC$11=1,VLOOKUP($V28,#REF!,11,FALSE),""))</f>
        <v>5</v>
      </c>
      <c r="AI28" s="219">
        <f ca="1">IF($AC$7=1,VLOOKUP($V28,Groepswedstrijden!$AH$12:$BA$78,19,FALSE),IF($AC$11=1,VLOOKUP($V28,#REF!,19,FALSE),""))</f>
        <v>44990403500013</v>
      </c>
      <c r="AJ28" s="224">
        <f ca="1">FLOOR(IF($AD26=3,AI26,IF($AD27=3,AI27,IF($AD28=3,AI28,AI29)))/10,1)</f>
        <v>4499040350001</v>
      </c>
      <c r="AL28" s="1160"/>
      <c r="AM28" s="339" t="str">
        <f ca="1">IF(AJ28=AJ27,"","3.")</f>
        <v>3.</v>
      </c>
      <c r="AN28" s="340" t="str">
        <f ca="1">IF($AD26=3,AE26,IF($AD27=3,AE27,IF($AD28=3,AE28,AE29)))</f>
        <v>Servië</v>
      </c>
      <c r="AO28" s="341">
        <f ca="1">IF($AD26=3,AF26,IF($AD27=3,AF27,IF($AD28=3,AF28,AF29)))</f>
        <v>4</v>
      </c>
      <c r="AP28" s="341">
        <f ca="1">IF($AD26=3,AG26,IF($AD27=3,AG27,IF($AD28=3,AG28,AG29)))</f>
        <v>4</v>
      </c>
      <c r="AQ28" s="341">
        <f ca="1">IF($AD26=3,AH26,IF($AD27=3,AH27,IF($AD28=3,AH28,AH29)))</f>
        <v>5</v>
      </c>
    </row>
    <row r="29" spans="2:43" ht="20.100000000000001" customHeight="1" x14ac:dyDescent="0.25">
      <c r="B29" s="17"/>
      <c r="C29" s="949"/>
      <c r="D29" s="1153" t="str">
        <f ca="1">IF($S$12=1,IF($AC$7=1,AB27,IF($AC$11=1,AC27,"")),IF(AND($S$12=2,OR($Y$29="LEEG",$Y$29="ONGELDIG")),IF($AC$7=1,AB27,IF($AC$11=1,AC27,"")),""))</f>
        <v>Denemarken / Servië</v>
      </c>
      <c r="E29" s="1153"/>
      <c r="F29" s="1153"/>
      <c r="G29" s="1153"/>
      <c r="H29" s="1153"/>
      <c r="I29" s="1153"/>
      <c r="J29" s="17"/>
      <c r="K29" s="1153" t="str">
        <f ca="1">IF($S$12=1,IF($AC$7=1,AB32,IF($AC$11=1,AC32,"")),IF(AND($S$12=2,OR($Z$29="LEEG",$Z$29="ONGELDIG")),IF($AC$7=1,AB32,IF($AC$11=1,AC32,"")),""))</f>
        <v>Nederland</v>
      </c>
      <c r="L29" s="1153"/>
      <c r="M29" s="1153"/>
      <c r="N29" s="1153"/>
      <c r="O29" s="1153"/>
      <c r="P29" s="1153"/>
      <c r="Q29" s="60"/>
      <c r="R29" s="17"/>
      <c r="S29" s="111">
        <f>S28+1</f>
        <v>5</v>
      </c>
      <c r="T29" s="136" t="str">
        <f ca="1">VLOOKUP(V29,Voorblad!$X$67:$Z$98,2,FALSE)</f>
        <v>Engeland</v>
      </c>
      <c r="U29" s="53" t="str">
        <f ca="1">VLOOKUP(V29,Voorblad!$X$67:$Z$98,3,FALSE)</f>
        <v>GB</v>
      </c>
      <c r="V29" s="295" t="str">
        <f ca="1">V25&amp;4</f>
        <v>C4</v>
      </c>
      <c r="W29" s="589" t="str">
        <f>"|"&amp;Taal02!C20&amp;"|"&amp;Taal02!D20&amp;"|"&amp;Taal02!E20&amp;"|"&amp;Taal02!F20&amp;"|"&amp;Taal02!G20&amp;"|"&amp;Taal02!H20&amp;"|"&amp;Taal02!I20&amp;"|"&amp;Taal02!J20&amp;"|"</f>
        <v>|Engeland|England|England|England|||||</v>
      </c>
      <c r="X29" s="196" t="s">
        <v>219</v>
      </c>
      <c r="Y29" s="144" t="str">
        <f>IF(Y28=1, "LEEG",IF(AND(Y28&gt;1,Y28&lt;6,TYPE(Y26+Y28+Y30+Y32)=1),IF(OR(Y28=Y26,Y28=Y30,Y28=Y32),"DUBBEL","GOED"),"ONGELDIG"))</f>
        <v>GOED</v>
      </c>
      <c r="Z29" s="144" t="str">
        <f>IF(Z28=1, "LEEG",IF(AND(Z28&gt;1,Z28&lt;6,TYPE(Z26+Z28+Z30+Z32)=1),IF(OR(Z28=Z26,Z28=Z30,Z28=Z32),"DUBBEL","GOED"),"ONGELDIG"))</f>
        <v>GOED</v>
      </c>
      <c r="AA29" s="263" t="str">
        <f ca="1">RIGHT(V29,1)</f>
        <v>4</v>
      </c>
      <c r="AB29" s="265" t="str">
        <f ca="1">Groepswedstrijden!AB79</f>
        <v>Slovenië</v>
      </c>
      <c r="AC29" s="64" t="e">
        <f>#REF!</f>
        <v>#REF!</v>
      </c>
      <c r="AD29" s="143">
        <f ca="1">IF($AC$7=1,VLOOKUP($V29,Groepswedstrijden!$AH$12:$BA$78,20,FALSE),IF($AC$11=1,VLOOKUP($V29,#REF!,20,FALSE),""))</f>
        <v>1</v>
      </c>
      <c r="AE29" s="186" t="str">
        <f ca="1">IF($AC$7=1,VLOOKUP($V29,Groepswedstrijden!$AH$12:$BA$78,3,FALSE),IF($AC$11=1,VLOOKUP($V29,#REF!,3,FALSE),""))</f>
        <v>Engeland</v>
      </c>
      <c r="AF29" s="143">
        <f ca="1">IF($AC$7=1,VLOOKUP($V29,Groepswedstrijden!$AH$12:$BA$78,9,FALSE),IF($AC$11=1,VLOOKUP($V29,#REF!,9,FALSE),""))</f>
        <v>9</v>
      </c>
      <c r="AG29" s="143">
        <f ca="1">IF($AC$7=1,VLOOKUP($V29,Groepswedstrijden!$AH$12:$BA$78,10,FALSE),IF($AC$11=1,VLOOKUP($V29,#REF!,10,FALSE),""))</f>
        <v>9</v>
      </c>
      <c r="AH29" s="143">
        <f ca="1">IF($AC$7=1,VLOOKUP($V29,Groepswedstrijden!$AH$12:$BA$78,11,FALSE),IF($AC$11=1,VLOOKUP($V29,#REF!,11,FALSE),""))</f>
        <v>2</v>
      </c>
      <c r="AI29" s="219">
        <f ca="1">IF($AC$7=1,VLOOKUP($V29,Groepswedstrijden!$AH$12:$BA$78,19,FALSE),IF($AC$11=1,VLOOKUP($V29,#REF!,19,FALSE),""))</f>
        <v>95070903500002</v>
      </c>
      <c r="AJ29" s="224">
        <f ca="1">FLOOR(IF($AD26=4,AI26,IF($AD27=4,AI27,IF($AD28=4,AI28,AI29)))/10,1)</f>
        <v>494010350000</v>
      </c>
      <c r="AL29" s="1161"/>
      <c r="AM29" s="342" t="str">
        <f ca="1">IF(AJ29=AJ28,"","4.")</f>
        <v>4.</v>
      </c>
      <c r="AN29" s="343" t="str">
        <f ca="1">IF($AD26=4,AE26,IF($AD27=4,AE27,IF($AD28=4,AE28,AE29)))</f>
        <v>Slovenië</v>
      </c>
      <c r="AO29" s="344">
        <f ca="1">IF($AD26=4,AF26,IF($AD27=4,AF27,IF($AD28=4,AF28,AF29)))</f>
        <v>0</v>
      </c>
      <c r="AP29" s="344">
        <f ca="1">IF($AD26=4,AG26,IF($AD27=4,AG27,IF($AD28=4,AG28,AG29)))</f>
        <v>1</v>
      </c>
      <c r="AQ29" s="344">
        <f ca="1">IF($AD26=4,AH26,IF($AD27=4,AH27,IF($AD28=4,AH28,AH29)))</f>
        <v>7</v>
      </c>
    </row>
    <row r="30" spans="2:43" ht="15" customHeight="1" x14ac:dyDescent="0.25">
      <c r="B30" s="17"/>
      <c r="C30" s="949"/>
      <c r="D30" s="335" t="s">
        <v>214</v>
      </c>
      <c r="E30" s="820" t="s">
        <v>1853</v>
      </c>
      <c r="F30" s="587" t="str">
        <f>IF(Y31="LEEG","▼","")</f>
        <v/>
      </c>
      <c r="G30" s="17"/>
      <c r="H30" s="17"/>
      <c r="I30" s="17"/>
      <c r="J30" s="17"/>
      <c r="K30" s="335" t="s">
        <v>214</v>
      </c>
      <c r="L30" s="821" t="s">
        <v>2232</v>
      </c>
      <c r="M30" s="587" t="str">
        <f>IF(Z31="LEEG","▼","")</f>
        <v/>
      </c>
      <c r="N30" s="17"/>
      <c r="O30" s="17"/>
      <c r="P30" s="17"/>
      <c r="Q30" s="60"/>
      <c r="R30" s="17"/>
      <c r="S30" s="111">
        <v>1</v>
      </c>
      <c r="T30" s="135"/>
      <c r="U30" s="50"/>
      <c r="V30" s="289" t="str">
        <f ca="1">RIGHT(K24,1)</f>
        <v>D</v>
      </c>
      <c r="W30" s="588"/>
      <c r="X30" s="196" t="s">
        <v>220</v>
      </c>
      <c r="Y30" s="144">
        <f>IF(ISBLANK(E30),1,IF(SUBSTITUTE(W26,E30,"#")&lt;&gt;W26,2,IF(SUBSTITUTE(W27,E30,"#")&lt;&gt;W27,3,IF(SUBSTITUTE(W28,E30,"#")&lt;&gt;W28,4,IF(SUBSTITUTE(W29,E30,"#")&lt;&gt;W29,5,6)))))</f>
        <v>4</v>
      </c>
      <c r="Z30" s="144">
        <f>IF(ISBLANK(L30),1,IF(SUBSTITUTE(W31,L30,"#")&lt;&gt;W31,2,IF(SUBSTITUTE(W32,L30,"#")&lt;&gt;W32,3,IF(SUBSTITUTE(W33,L30,"#")&lt;&gt;W33,4,IF(SUBSTITUTE(W34,L30,"#")&lt;&gt;W34,5,6)))))</f>
        <v>4</v>
      </c>
      <c r="AA30" s="64"/>
      <c r="AB30" s="264" t="str">
        <f ca="1">UPPER(Taal04!$B$26)&amp;" "&amp;V30</f>
        <v>GROEP D</v>
      </c>
      <c r="AC30" s="263" t="str">
        <f ca="1">AB30</f>
        <v>GROEP D</v>
      </c>
      <c r="AD30" s="143"/>
      <c r="AE30" s="187" t="str">
        <f ca="1">AB30</f>
        <v>GROEP D</v>
      </c>
      <c r="AF30" s="143"/>
      <c r="AG30" s="143"/>
      <c r="AH30" s="143"/>
      <c r="AI30" s="219"/>
      <c r="AJ30" s="223"/>
      <c r="AL30" s="602" t="str">
        <f>IF(AF7="JA","","└ "&amp;SUBSTITUTE(Taal04!B62,"#",RIGHT(AL26,1)))</f>
        <v/>
      </c>
      <c r="AM30" s="601"/>
      <c r="AP30" s="603"/>
      <c r="AQ30" s="603"/>
    </row>
    <row r="31" spans="2:43" ht="20.100000000000001" customHeight="1" x14ac:dyDescent="0.25">
      <c r="B31" s="17"/>
      <c r="C31" s="949"/>
      <c r="D31" s="1153" t="str">
        <f ca="1">IF($S$12=1,IF($AC$7=1,AB28,IF($AC$11=1,AC28,"")),IF(AND($S$12=2,OR($Y$31="LEEG",$Y$31="ONGELDIG")),IF($AC$7=1,AB28,IF($AC$11=1,AC28,"")),""))</f>
        <v>Denemarken / Servië</v>
      </c>
      <c r="E31" s="1153"/>
      <c r="F31" s="1153"/>
      <c r="G31" s="1153"/>
      <c r="H31" s="1153"/>
      <c r="I31" s="1153"/>
      <c r="J31" s="17"/>
      <c r="K31" s="1153" t="str">
        <f ca="1">IF($S$12=1,IF($AC$7=1,AB33,IF($AC$11=1,AC33,"")),IF(AND($S$12=2,OR($Z$31="LEEG",$Z$31="ONGELDIG")),IF($AC$7=1,AB33,IF($AC$11=1,AC33,"")),""))</f>
        <v>Oostenrijk</v>
      </c>
      <c r="L31" s="1153"/>
      <c r="M31" s="1153"/>
      <c r="N31" s="1153"/>
      <c r="O31" s="1153"/>
      <c r="P31" s="1153"/>
      <c r="Q31" s="60"/>
      <c r="R31" s="17"/>
      <c r="S31" s="111">
        <f>S30+1</f>
        <v>2</v>
      </c>
      <c r="T31" s="85" t="str">
        <f ca="1">VLOOKUP(V31,Voorblad!$X$67:$Z$98,2,FALSE)</f>
        <v>Polen</v>
      </c>
      <c r="U31" s="10" t="str">
        <f ca="1">VLOOKUP(V31,Voorblad!$X$67:$Z$98,3,FALSE)</f>
        <v>PL</v>
      </c>
      <c r="V31" s="292" t="str">
        <f ca="1">V30&amp;1</f>
        <v>D1</v>
      </c>
      <c r="W31" s="589" t="str">
        <f>"|"&amp;Taal02!C22&amp;"|"&amp;Taal02!D22&amp;"|"&amp;Taal02!E22&amp;"|"&amp;Taal02!F22&amp;"|"&amp;Taal02!G22&amp;"|"&amp;Taal02!H22&amp;"|"&amp;Taal02!I22&amp;"|"&amp;Taal02!J22&amp;"|"</f>
        <v>|Polen|Poland|Polen|Polen|||||</v>
      </c>
      <c r="X31" s="196" t="s">
        <v>221</v>
      </c>
      <c r="Y31" s="144" t="str">
        <f>IF(Y30=1, "LEEG",IF(AND(Y30&gt;1,Y30&lt;6,TYPE(Y26+Y28+Y30+Y32)=1),IF(OR(Y30=Y26,Y30=Y28,Y30=Y32),"DUBBEL","GOED"),"ONGELDIG"))</f>
        <v>GOED</v>
      </c>
      <c r="Z31" s="144" t="str">
        <f>IF(Z30=1, "LEEG",IF(AND(Z30&gt;1,Z30&lt;6,TYPE(Z26+Z28+Z30+Z32)=1),IF(OR(Z30=Z26,Z30=Z28,Z30=Z32),"DUBBEL","GOED"),"ONGELDIG"))</f>
        <v>GOED</v>
      </c>
      <c r="AA31" s="263" t="str">
        <f ca="1">RIGHT(V31,1)</f>
        <v>1</v>
      </c>
      <c r="AB31" s="265" t="str">
        <f ca="1">Groepswedstrijden!AC76</f>
        <v>Frankrijk</v>
      </c>
      <c r="AC31" s="64" t="e">
        <f>#REF!</f>
        <v>#REF!</v>
      </c>
      <c r="AD31" s="143">
        <f ca="1">IF($AC$7=1,VLOOKUP($V31,Groepswedstrijden!$AH$12:$BA$78,20,FALSE),IF($AC$11=1,VLOOKUP($V31,#REF!,20,FALSE),""))</f>
        <v>4</v>
      </c>
      <c r="AE31" s="186" t="str">
        <f ca="1">IF($AC$7=1,VLOOKUP($V31,Groepswedstrijden!$AH$12:$BA$78,3,FALSE),IF($AC$11=1,VLOOKUP($V31,#REF!,3,FALSE),""))</f>
        <v>Polen</v>
      </c>
      <c r="AF31" s="143">
        <f ca="1">IF($AC$7=1,VLOOKUP($V31,Groepswedstrijden!$AH$12:$BA$78,9,FALSE),IF($AC$11=1,VLOOKUP($V31,#REF!,9,FALSE),""))</f>
        <v>0</v>
      </c>
      <c r="AG31" s="143">
        <f ca="1">IF($AC$7=1,VLOOKUP($V31,Groepswedstrijden!$AH$12:$BA$78,10,FALSE),IF($AC$11=1,VLOOKUP($V31,#REF!,10,FALSE),""))</f>
        <v>1</v>
      </c>
      <c r="AH31" s="143">
        <f ca="1">IF($AC$7=1,VLOOKUP($V31,Groepswedstrijden!$AH$12:$BA$78,11,FALSE),IF($AC$11=1,VLOOKUP($V31,#REF!,11,FALSE),""))</f>
        <v>6</v>
      </c>
      <c r="AI31" s="219">
        <f ca="1">IF($AC$7=1,VLOOKUP($V31,Groepswedstrijden!$AH$12:$BA$78,19,FALSE),IF($AC$11=1,VLOOKUP($V31,#REF!,19,FALSE),""))</f>
        <v>4950103500004</v>
      </c>
      <c r="AJ31" s="224">
        <f ca="1">FLOOR(IF($AD31=1,AI31,IF($AD32=1,AI32,IF($AD33=1,AI33,AI34)))/10,1)</f>
        <v>9505060350000</v>
      </c>
      <c r="AL31" s="1159" t="str">
        <f ca="1">AE30</f>
        <v>GROEP D</v>
      </c>
      <c r="AM31" s="336" t="s">
        <v>67</v>
      </c>
      <c r="AN31" s="337" t="str">
        <f ca="1">IF($AD31=1,AE31,IF($AD32=1,AE32,IF($AD33=1,AE33,AE34)))</f>
        <v>Frankrijk</v>
      </c>
      <c r="AO31" s="338">
        <f ca="1">IF($AD31=1,AF31,IF($AD32=1,AF32,IF($AD33=1,AF33,AF34)))</f>
        <v>9</v>
      </c>
      <c r="AP31" s="338">
        <f ca="1">IF($AD31=1,AG31,IF($AD32=1,AG32,IF($AD33=1,AG33,AG34)))</f>
        <v>6</v>
      </c>
      <c r="AQ31" s="338">
        <f ca="1">IF($AD31=1,AH31,IF($AD32=1,AH32,IF($AD33=1,AH33,AH34)))</f>
        <v>1</v>
      </c>
    </row>
    <row r="32" spans="2:43" ht="15" customHeight="1" x14ac:dyDescent="0.25">
      <c r="B32" s="17"/>
      <c r="C32" s="949"/>
      <c r="D32" s="335" t="s">
        <v>215</v>
      </c>
      <c r="E32" s="820" t="s">
        <v>2197</v>
      </c>
      <c r="F32" s="587" t="str">
        <f>IF(Y33="LEEG","▼","")</f>
        <v/>
      </c>
      <c r="G32" s="17"/>
      <c r="H32" s="17"/>
      <c r="I32" s="17"/>
      <c r="J32" s="17"/>
      <c r="K32" s="335" t="s">
        <v>215</v>
      </c>
      <c r="L32" s="821" t="s">
        <v>2466</v>
      </c>
      <c r="M32" s="587" t="str">
        <f>IF(Z33="LEEG","▼","")</f>
        <v/>
      </c>
      <c r="N32" s="17"/>
      <c r="O32" s="17"/>
      <c r="P32" s="17"/>
      <c r="Q32" s="60"/>
      <c r="R32" s="17"/>
      <c r="S32" s="111">
        <f>S31+1</f>
        <v>3</v>
      </c>
      <c r="T32" s="85" t="str">
        <f ca="1">VLOOKUP(V32,Voorblad!$X$67:$Z$98,2,FALSE)</f>
        <v>Nederland</v>
      </c>
      <c r="U32" s="10" t="str">
        <f ca="1">VLOOKUP(V32,Voorblad!$X$67:$Z$98,3,FALSE)</f>
        <v>NL</v>
      </c>
      <c r="V32" s="292" t="str">
        <f ca="1">V30&amp;2</f>
        <v>D2</v>
      </c>
      <c r="W32" s="589" t="str">
        <f>"|"&amp;Taal02!C23&amp;"|"&amp;Taal02!D23&amp;"|"&amp;Taal02!E23&amp;"|"&amp;Taal02!F23&amp;"|"&amp;Taal02!G23&amp;"|"&amp;Taal02!H23&amp;"|"&amp;Taal02!I23&amp;"|"&amp;Taal02!J23&amp;"|"</f>
        <v>|Nederland|Netherlands|Niederlande|Nederländerna|||||</v>
      </c>
      <c r="X32" s="196" t="s">
        <v>222</v>
      </c>
      <c r="Y32" s="144">
        <f>IF(ISBLANK(E32),1,IF(SUBSTITUTE(W26,E32,"#")&lt;&gt;W26,2,IF(SUBSTITUTE(W27,E32,"#")&lt;&gt;W27,3,IF(SUBSTITUTE(W28,E32,"#")&lt;&gt;W28,4,IF(SUBSTITUTE(W29,E32,"#")&lt;&gt;W29,5,6)))))</f>
        <v>2</v>
      </c>
      <c r="Z32" s="144">
        <f>IF(ISBLANK(L32),1,IF(SUBSTITUTE(W31,L32,"#")&lt;&gt;W31,2,IF(SUBSTITUTE(W32,L32,"#")&lt;&gt;W32,3,IF(SUBSTITUTE(W33,L32,"#")&lt;&gt;W33,4,IF(SUBSTITUTE(W34,L32,"#")&lt;&gt;W34,5,6)))))</f>
        <v>2</v>
      </c>
      <c r="AA32" s="263" t="str">
        <f ca="1">RIGHT(V32,1)</f>
        <v>2</v>
      </c>
      <c r="AB32" s="265" t="str">
        <f ca="1">Groepswedstrijden!AC77</f>
        <v>Nederland</v>
      </c>
      <c r="AC32" s="64" t="e">
        <f>#REF!</f>
        <v>#REF!</v>
      </c>
      <c r="AD32" s="143">
        <f ca="1">IF($AC$7=1,VLOOKUP($V32,Groepswedstrijden!$AH$12:$BA$78,20,FALSE),IF($AC$11=1,VLOOKUP($V32,#REF!,20,FALSE),""))</f>
        <v>2</v>
      </c>
      <c r="AE32" s="186" t="str">
        <f ca="1">IF($AC$7=1,VLOOKUP($V32,Groepswedstrijden!$AH$12:$BA$78,3,FALSE),IF($AC$11=1,VLOOKUP($V32,#REF!,3,FALSE),""))</f>
        <v>Nederland</v>
      </c>
      <c r="AF32" s="143">
        <f ca="1">IF($AC$7=1,VLOOKUP($V32,Groepswedstrijden!$AH$12:$BA$78,9,FALSE),IF($AC$11=1,VLOOKUP($V32,#REF!,9,FALSE),""))</f>
        <v>6</v>
      </c>
      <c r="AG32" s="143">
        <f ca="1">IF($AC$7=1,VLOOKUP($V32,Groepswedstrijden!$AH$12:$BA$78,10,FALSE),IF($AC$11=1,VLOOKUP($V32,#REF!,10,FALSE),""))</f>
        <v>5</v>
      </c>
      <c r="AH32" s="143">
        <f ca="1">IF($AC$7=1,VLOOKUP($V32,Groepswedstrijden!$AH$12:$BA$78,11,FALSE),IF($AC$11=1,VLOOKUP($V32,#REF!,11,FALSE),""))</f>
        <v>2</v>
      </c>
      <c r="AI32" s="219">
        <f ca="1">IF($AC$7=1,VLOOKUP($V32,Groepswedstrijden!$AH$12:$BA$78,19,FALSE),IF($AC$11=1,VLOOKUP($V32,#REF!,19,FALSE),""))</f>
        <v>65030503500002</v>
      </c>
      <c r="AJ32" s="224">
        <f ca="1">FLOOR(IF($AD31=2,AI31,IF($AD32=2,AI32,IF($AD33=2,AI33,AI34)))/10,1)</f>
        <v>6503050350000</v>
      </c>
      <c r="AL32" s="1160"/>
      <c r="AM32" s="339" t="str">
        <f ca="1">IF(AJ32=AJ31,"","2.")</f>
        <v>2.</v>
      </c>
      <c r="AN32" s="340" t="str">
        <f ca="1">IF($AD31=2,AE31,IF($AD32=2,AE32,IF($AD33=2,AE33,AE34)))</f>
        <v>Nederland</v>
      </c>
      <c r="AO32" s="341">
        <f ca="1">IF($AD31=2,AF31,IF($AD32=2,AF32,IF($AD33=2,AF33,AF34)))</f>
        <v>6</v>
      </c>
      <c r="AP32" s="341">
        <f ca="1">IF($AD31=2,AG31,IF($AD32=2,AG32,IF($AD33=2,AG33,AG34)))</f>
        <v>5</v>
      </c>
      <c r="AQ32" s="341">
        <f ca="1">IF($AD31=2,AH31,IF($AD32=2,AH32,IF($AD33=2,AH33,AH34)))</f>
        <v>2</v>
      </c>
    </row>
    <row r="33" spans="1:43" ht="20.100000000000001" customHeight="1" x14ac:dyDescent="0.25">
      <c r="B33" s="17"/>
      <c r="C33" s="949"/>
      <c r="D33" s="1153" t="str">
        <f ca="1">IF($S$12=1,IF($AC$7=1,AB29,IF($AC$11=1,AC29,"")),IF(AND($S$12=2,OR($Y$33="LEEG",$Y$33="ONGELDIG")),IF($AC$7=1,AB29,IF($AC$11=1,AC29,"")),""))</f>
        <v>Slovenië</v>
      </c>
      <c r="E33" s="1153"/>
      <c r="F33" s="1153"/>
      <c r="G33" s="1153"/>
      <c r="H33" s="1153"/>
      <c r="I33" s="1153"/>
      <c r="J33" s="17"/>
      <c r="K33" s="1153" t="str">
        <f ca="1">IF($S$12=1,IF($AC$7=1,AB34,IF($AC$11=1,AC34,"")),IF(AND($S$12=2,OR($Z$33="LEEG",$Z$33="ONGELDIG")),IF($AC$7=1,AB34,IF($AC$11=1,AC34,"")),""))</f>
        <v>Polen</v>
      </c>
      <c r="L33" s="1153"/>
      <c r="M33" s="1153"/>
      <c r="N33" s="1153"/>
      <c r="O33" s="1153"/>
      <c r="P33" s="1153"/>
      <c r="Q33" s="60"/>
      <c r="R33" s="17"/>
      <c r="S33" s="111">
        <f>S32+1</f>
        <v>4</v>
      </c>
      <c r="T33" s="85" t="str">
        <f ca="1">VLOOKUP(V33,Voorblad!$X$67:$Z$98,2,FALSE)</f>
        <v>Oostenrijk</v>
      </c>
      <c r="U33" s="10" t="str">
        <f ca="1">VLOOKUP(V33,Voorblad!$X$67:$Z$98,3,FALSE)</f>
        <v>AT</v>
      </c>
      <c r="V33" s="292" t="str">
        <f ca="1">V30&amp;3</f>
        <v>D3</v>
      </c>
      <c r="W33" s="589" t="str">
        <f>"|"&amp;Taal02!C24&amp;"|"&amp;Taal02!D24&amp;"|"&amp;Taal02!E24&amp;"|"&amp;Taal02!F24&amp;"|"&amp;Taal02!G24&amp;"|"&amp;Taal02!H24&amp;"|"&amp;Taal02!I24&amp;"|"&amp;Taal02!J24&amp;"|"</f>
        <v>|Oostenrijk|Austria|Österreich|Österrike|||||</v>
      </c>
      <c r="X33" s="196" t="s">
        <v>223</v>
      </c>
      <c r="Y33" s="144" t="str">
        <f>IF(Y32=1, "LEEG",IF(AND(Y32&gt;1,Y32&lt;6,TYPE(Y26+Y28+Y30+Y32)=1),IF(OR(Y32=Y26,Y32=Y28,Y32=Y30),"DUBBEL","GOED"),"ONGELDIG"))</f>
        <v>GOED</v>
      </c>
      <c r="Z33" s="144" t="str">
        <f>IF(Z32=1, "LEEG",IF(AND(Z32&gt;1,Z32&lt;6,TYPE(Z26+Z28+Z30+Z32)=1),IF(OR(Z32=Z26,Z32=Z28,Z32=Z30),"DUBBEL","GOED"),"ONGELDIG"))</f>
        <v>GOED</v>
      </c>
      <c r="AA33" s="263" t="str">
        <f ca="1">RIGHT(V33,1)</f>
        <v>3</v>
      </c>
      <c r="AB33" s="265" t="str">
        <f ca="1">Groepswedstrijden!AC78</f>
        <v>Oostenrijk</v>
      </c>
      <c r="AC33" s="64" t="e">
        <f>#REF!</f>
        <v>#REF!</v>
      </c>
      <c r="AD33" s="143">
        <f ca="1">IF($AC$7=1,VLOOKUP($V33,Groepswedstrijden!$AH$12:$BA$78,20,FALSE),IF($AC$11=1,VLOOKUP($V33,#REF!,20,FALSE),""))</f>
        <v>3</v>
      </c>
      <c r="AE33" s="186" t="str">
        <f ca="1">IF($AC$7=1,VLOOKUP($V33,Groepswedstrijden!$AH$12:$BA$78,3,FALSE),IF($AC$11=1,VLOOKUP($V33,#REF!,3,FALSE),""))</f>
        <v>Oostenrijk</v>
      </c>
      <c r="AF33" s="143">
        <f ca="1">IF($AC$7=1,VLOOKUP($V33,Groepswedstrijden!$AH$12:$BA$78,9,FALSE),IF($AC$11=1,VLOOKUP($V33,#REF!,9,FALSE),""))</f>
        <v>3</v>
      </c>
      <c r="AG33" s="143">
        <f ca="1">IF($AC$7=1,VLOOKUP($V33,Groepswedstrijden!$AH$12:$BA$78,10,FALSE),IF($AC$11=1,VLOOKUP($V33,#REF!,10,FALSE),""))</f>
        <v>2</v>
      </c>
      <c r="AH33" s="143">
        <f ca="1">IF($AC$7=1,VLOOKUP($V33,Groepswedstrijden!$AH$12:$BA$78,11,FALSE),IF($AC$11=1,VLOOKUP($V33,#REF!,11,FALSE),""))</f>
        <v>5</v>
      </c>
      <c r="AI33" s="219">
        <f ca="1">IF($AC$7=1,VLOOKUP($V33,Groepswedstrijden!$AH$12:$BA$78,19,FALSE),IF($AC$11=1,VLOOKUP($V33,#REF!,19,FALSE),""))</f>
        <v>34970203500003</v>
      </c>
      <c r="AJ33" s="224">
        <f ca="1">FLOOR(IF($AD31=3,AI31,IF($AD32=3,AI32,IF($AD33=3,AI33,AI34)))/10,1)</f>
        <v>3497020350000</v>
      </c>
      <c r="AL33" s="1160"/>
      <c r="AM33" s="339" t="str">
        <f ca="1">IF(AJ33=AJ32,"","3.")</f>
        <v>3.</v>
      </c>
      <c r="AN33" s="340" t="str">
        <f ca="1">IF($AD31=3,AE31,IF($AD32=3,AE32,IF($AD33=3,AE33,AE34)))</f>
        <v>Oostenrijk</v>
      </c>
      <c r="AO33" s="341">
        <f ca="1">IF($AD31=3,AF31,IF($AD32=3,AF32,IF($AD33=3,AF33,AF34)))</f>
        <v>3</v>
      </c>
      <c r="AP33" s="341">
        <f ca="1">IF($AD31=3,AG31,IF($AD32=3,AG32,IF($AD33=3,AG33,AG34)))</f>
        <v>2</v>
      </c>
      <c r="AQ33" s="341">
        <f ca="1">IF($AD31=3,AH31,IF($AD32=3,AH32,IF($AD33=3,AH33,AH34)))</f>
        <v>5</v>
      </c>
    </row>
    <row r="34" spans="1:43" ht="15" customHeight="1" x14ac:dyDescent="0.25">
      <c r="B34" s="17"/>
      <c r="C34" s="949"/>
      <c r="D34" s="1157" t="str">
        <f ca="1">Taal04!$B$26&amp;" E"</f>
        <v>Groep E</v>
      </c>
      <c r="E34" s="1157"/>
      <c r="F34" s="17"/>
      <c r="G34" s="17"/>
      <c r="H34" s="17"/>
      <c r="I34" s="17"/>
      <c r="J34" s="17"/>
      <c r="K34" s="1157" t="str">
        <f ca="1">Taal04!$B$26&amp;" F"</f>
        <v>Groep F</v>
      </c>
      <c r="L34" s="1157"/>
      <c r="M34" s="17"/>
      <c r="N34" s="17"/>
      <c r="O34" s="17"/>
      <c r="P34" s="17"/>
      <c r="Q34" s="60"/>
      <c r="R34" s="17"/>
      <c r="S34" s="111">
        <f>S33+1</f>
        <v>5</v>
      </c>
      <c r="T34" s="136" t="str">
        <f ca="1">VLOOKUP(V34,Voorblad!$X$67:$Z$98,2,FALSE)</f>
        <v>Frankrijk</v>
      </c>
      <c r="U34" s="53" t="str">
        <f ca="1">VLOOKUP(V34,Voorblad!$X$67:$Z$98,3,FALSE)</f>
        <v>FR</v>
      </c>
      <c r="V34" s="295" t="str">
        <f ca="1">V30&amp;4</f>
        <v>D4</v>
      </c>
      <c r="W34" s="589" t="str">
        <f>"|"&amp;Taal02!C25&amp;"|"&amp;Taal02!D25&amp;"|"&amp;Taal02!E25&amp;"|"&amp;Taal02!F25&amp;"|"&amp;Taal02!G25&amp;"|"&amp;Taal02!H25&amp;"|"&amp;Taal02!I25&amp;"|"&amp;Taal02!J25&amp;"|"</f>
        <v>|Frankrijk|France|Frankreich|Frankrike|||||</v>
      </c>
      <c r="X34" s="196" t="s">
        <v>224</v>
      </c>
      <c r="Y34" s="405" t="str">
        <f>IF(TYPE(1*((Y26+Y28+Y30+Y32)&amp;(Y26*Y28*Y30*Y32)))=1,(Y26+Y28+Y30+Y32)&amp;(Y26*Y28*Y30*Y32),14120)</f>
        <v>14120</v>
      </c>
      <c r="Z34" s="405" t="str">
        <f>IF(TYPE(1*((Z26+Z28+Z30+Z32)&amp;(Z26*Z28*Z30*Z32)))=1,(Z26+Z28+Z30+Z32)&amp;(Z26*Z28*Z30*Z32),14120)</f>
        <v>14120</v>
      </c>
      <c r="AA34" s="263" t="str">
        <f ca="1">RIGHT(V34,1)</f>
        <v>4</v>
      </c>
      <c r="AB34" s="265" t="str">
        <f ca="1">Groepswedstrijden!AC79</f>
        <v>Polen</v>
      </c>
      <c r="AC34" s="64" t="e">
        <f>#REF!</f>
        <v>#REF!</v>
      </c>
      <c r="AD34" s="143">
        <f ca="1">IF($AC$7=1,VLOOKUP($V34,Groepswedstrijden!$AH$12:$BA$78,20,FALSE),IF($AC$11=1,VLOOKUP($V34,#REF!,20,FALSE),""))</f>
        <v>1</v>
      </c>
      <c r="AE34" s="186" t="str">
        <f ca="1">IF($AC$7=1,VLOOKUP($V34,Groepswedstrijden!$AH$12:$BA$78,3,FALSE),IF($AC$11=1,VLOOKUP($V34,#REF!,3,FALSE),""))</f>
        <v>Frankrijk</v>
      </c>
      <c r="AF34" s="143">
        <f ca="1">IF($AC$7=1,VLOOKUP($V34,Groepswedstrijden!$AH$12:$BA$78,9,FALSE),IF($AC$11=1,VLOOKUP($V34,#REF!,9,FALSE),""))</f>
        <v>9</v>
      </c>
      <c r="AG34" s="143">
        <f ca="1">IF($AC$7=1,VLOOKUP($V34,Groepswedstrijden!$AH$12:$BA$78,10,FALSE),IF($AC$11=1,VLOOKUP($V34,#REF!,10,FALSE),""))</f>
        <v>6</v>
      </c>
      <c r="AH34" s="143">
        <f ca="1">IF($AC$7=1,VLOOKUP($V34,Groepswedstrijden!$AH$12:$BA$78,11,FALSE),IF($AC$11=1,VLOOKUP($V34,#REF!,11,FALSE),""))</f>
        <v>1</v>
      </c>
      <c r="AI34" s="219">
        <f ca="1">IF($AC$7=1,VLOOKUP($V34,Groepswedstrijden!$AH$12:$BA$78,19,FALSE),IF($AC$11=1,VLOOKUP($V34,#REF!,19,FALSE),""))</f>
        <v>95050603500001</v>
      </c>
      <c r="AJ34" s="224">
        <f ca="1">FLOOR(IF($AD31=4,AI31,IF($AD32=4,AI32,IF($AD33=4,AI33,AI34)))/10,1)</f>
        <v>495010350000</v>
      </c>
      <c r="AL34" s="1161"/>
      <c r="AM34" s="342" t="str">
        <f ca="1">IF(AJ34=AJ33,"","4.")</f>
        <v>4.</v>
      </c>
      <c r="AN34" s="343" t="str">
        <f ca="1">IF($AD31=4,AE31,IF($AD32=4,AE32,IF($AD33=4,AE33,AE34)))</f>
        <v>Polen</v>
      </c>
      <c r="AO34" s="344">
        <f ca="1">IF($AD31=4,AF31,IF($AD32=4,AF32,IF($AD33=4,AF33,AF34)))</f>
        <v>0</v>
      </c>
      <c r="AP34" s="344">
        <f ca="1">IF($AD31=4,AG31,IF($AD32=4,AG32,IF($AD33=4,AG33,AG34)))</f>
        <v>1</v>
      </c>
      <c r="AQ34" s="344">
        <f ca="1">IF($AD31=4,AH31,IF($AD32=4,AH32,IF($AD33=4,AH33,AH34)))</f>
        <v>6</v>
      </c>
    </row>
    <row r="35" spans="1:43" ht="15" customHeight="1" x14ac:dyDescent="0.25">
      <c r="B35" s="17"/>
      <c r="C35" s="949"/>
      <c r="D35" s="1158"/>
      <c r="E35" s="1158"/>
      <c r="F35" s="17"/>
      <c r="G35" s="17"/>
      <c r="H35" s="17"/>
      <c r="I35" s="17"/>
      <c r="J35" s="17"/>
      <c r="K35" s="1158"/>
      <c r="L35" s="1158"/>
      <c r="M35" s="17"/>
      <c r="N35" s="17"/>
      <c r="O35" s="17"/>
      <c r="P35" s="17"/>
      <c r="Q35" s="60"/>
      <c r="R35" s="17"/>
      <c r="S35" s="111">
        <v>1</v>
      </c>
      <c r="T35" s="135"/>
      <c r="U35" s="137"/>
      <c r="V35" s="289" t="str">
        <f ca="1">RIGHT(D34,1)</f>
        <v>E</v>
      </c>
      <c r="W35" s="588"/>
      <c r="X35" s="196" t="str">
        <f ca="1">"Deelnamecode "&amp;V35&amp;"/"&amp;V40</f>
        <v>Deelnamecode E/F</v>
      </c>
      <c r="Y35" s="162" t="str">
        <f ca="1">IF(AND(TYPE(Y36)=1,TYPE(Y38)=1,TYPE(Y40)=1,TYPE(Y42)=1),IF(AND(Y37="GOED",Y39="GOED",Y41="GOED",Y43="GOED"),LOOKUP(Y36,S36:S39,U36:U39)&amp;"."&amp;LOOKUP(Y38,S36:S39,U36:U39)&amp;"."&amp;LOOKUP(Y40,S36:S39,U36:U39)&amp;"."&amp;LOOKUP(Y42,S36:S39,U36:U39)&amp;"|","FOUT"),"ONGELDIG")</f>
        <v>BE.UA.SK.RO|</v>
      </c>
      <c r="Z35" s="162" t="str">
        <f ca="1">IF(AND(TYPE(Z36)=1,TYPE(Z38)=1,TYPE(Z40)=1,TYPE(Z42)=1),IF(AND(Z37="GOED",Z39="GOED",Z41="GOED",Z43="GOED"),LOOKUP(Z36,S41:S44,U41:U44)&amp;"."&amp;LOOKUP(Z38,S41:S44,U41:U44)&amp;"."&amp;LOOKUP(Z40,S41:S44,U41:U44)&amp;"."&amp;LOOKUP(Z42,S41:S44,U41:U44)&amp;"|","FOUT"),"ONGELDIG")</f>
        <v>PT.TR.CZ.GE|</v>
      </c>
      <c r="AA35" s="64"/>
      <c r="AB35" s="264" t="str">
        <f ca="1">UPPER(Taal04!$B$26)&amp;" "&amp;V35</f>
        <v>GROEP E</v>
      </c>
      <c r="AC35" s="263" t="str">
        <f ca="1">AB35</f>
        <v>GROEP E</v>
      </c>
      <c r="AD35" s="143"/>
      <c r="AE35" s="187" t="str">
        <f ca="1">AB35</f>
        <v>GROEP E</v>
      </c>
      <c r="AF35" s="143"/>
      <c r="AG35" s="143"/>
      <c r="AH35" s="143"/>
      <c r="AI35" s="219"/>
      <c r="AJ35" s="223"/>
      <c r="AL35" s="602" t="str">
        <f>IF(AH7="JA","","└ "&amp;SUBSTITUTE(Taal04!B62,"#",RIGHT(AL31,1)))</f>
        <v/>
      </c>
    </row>
    <row r="36" spans="1:43" ht="15" customHeight="1" x14ac:dyDescent="0.25">
      <c r="B36" s="17"/>
      <c r="C36" s="949"/>
      <c r="D36" s="335" t="s">
        <v>212</v>
      </c>
      <c r="E36" s="820" t="s">
        <v>463</v>
      </c>
      <c r="F36" s="587" t="str">
        <f>IF(Y37="LEEG","▼","")</f>
        <v/>
      </c>
      <c r="G36" s="17"/>
      <c r="H36" s="741"/>
      <c r="I36" s="741"/>
      <c r="J36" s="17"/>
      <c r="K36" s="335" t="s">
        <v>212</v>
      </c>
      <c r="L36" s="821" t="s">
        <v>466</v>
      </c>
      <c r="M36" s="587" t="str">
        <f>IF(Z37="LEEG","▼","")</f>
        <v/>
      </c>
      <c r="N36" s="17"/>
      <c r="O36" s="741"/>
      <c r="P36" s="741"/>
      <c r="Q36" s="60"/>
      <c r="R36" s="17"/>
      <c r="S36" s="111">
        <f>S35+1</f>
        <v>2</v>
      </c>
      <c r="T36" s="85" t="str">
        <f ca="1">VLOOKUP(V36,Voorblad!$X$67:$Z$98,2,FALSE)</f>
        <v>België</v>
      </c>
      <c r="U36" s="10" t="str">
        <f ca="1">VLOOKUP(V36,Voorblad!$X$67:$Z$98,3,FALSE)</f>
        <v>BE</v>
      </c>
      <c r="V36" s="292" t="str">
        <f ca="1">V35&amp;1</f>
        <v>E1</v>
      </c>
      <c r="W36" s="589" t="str">
        <f>"|"&amp;Taal02!C27&amp;"|"&amp;Taal02!D27&amp;"|"&amp;Taal02!E27&amp;"|"&amp;Taal02!F27&amp;"|"&amp;Taal02!G27&amp;"|"&amp;Taal02!H27&amp;"|"&amp;Taal02!I27&amp;"|"&amp;Taal02!J27&amp;"|"</f>
        <v>|België|Belgium|Belgien|Belgien|||||</v>
      </c>
      <c r="X36" s="196" t="s">
        <v>216</v>
      </c>
      <c r="Y36" s="144">
        <f>IF(ISBLANK(E36),1,IF(SUBSTITUTE(W36,E36,"#")&lt;&gt;W36,2,IF(SUBSTITUTE(W37,E36,"#")&lt;&gt;W37,3,IF(SUBSTITUTE(W38,E36,"#")&lt;&gt;W38,4,IF(SUBSTITUTE(W39,E36,"#")&lt;&gt;W39,5,6)))))</f>
        <v>2</v>
      </c>
      <c r="Z36" s="144">
        <f>IF(ISBLANK(L36),1,IF(SUBSTITUTE(W41,L36,"#")&lt;&gt;W41,2,IF(SUBSTITUTE(W42,L36,"#")&lt;&gt;W42,3,IF(SUBSTITUTE(W43,L36,"#")&lt;&gt;W43,4,IF(SUBSTITUTE(W44,L36,"#")&lt;&gt;W44,5,6)))))</f>
        <v>4</v>
      </c>
      <c r="AA36" s="263" t="str">
        <f ca="1">RIGHT(V36,1)</f>
        <v>1</v>
      </c>
      <c r="AB36" s="265" t="str">
        <f ca="1">Groepswedstrijden!AD76</f>
        <v>België</v>
      </c>
      <c r="AC36" s="64" t="e">
        <f>#REF!</f>
        <v>#REF!</v>
      </c>
      <c r="AD36" s="143">
        <f ca="1">IF($AC$7=1,VLOOKUP($V36,Groepswedstrijden!$AH$12:$BA$78,20,FALSE),IF($AC$11=1,VLOOKUP($V36,#REF!,20,FALSE),""))</f>
        <v>1</v>
      </c>
      <c r="AE36" s="186" t="str">
        <f ca="1">IF($AC$7=1,VLOOKUP($V36,Groepswedstrijden!$AH$12:$BA$78,3,FALSE),IF($AC$11=1,VLOOKUP($V36,#REF!,3,FALSE),""))</f>
        <v>België</v>
      </c>
      <c r="AF36" s="143">
        <f ca="1">IF($AC$7=1,VLOOKUP($V36,Groepswedstrijden!$AH$12:$BA$78,9,FALSE),IF($AC$11=1,VLOOKUP($V36,#REF!,9,FALSE),""))</f>
        <v>9</v>
      </c>
      <c r="AG36" s="143">
        <f ca="1">IF($AC$7=1,VLOOKUP($V36,Groepswedstrijden!$AH$12:$BA$78,10,FALSE),IF($AC$11=1,VLOOKUP($V36,#REF!,10,FALSE),""))</f>
        <v>7</v>
      </c>
      <c r="AH36" s="143">
        <f ca="1">IF($AC$7=1,VLOOKUP($V36,Groepswedstrijden!$AH$12:$BA$78,11,FALSE),IF($AC$11=1,VLOOKUP($V36,#REF!,11,FALSE),""))</f>
        <v>2</v>
      </c>
      <c r="AI36" s="219">
        <f ca="1">IF($AC$7=1,VLOOKUP($V36,Groepswedstrijden!$AH$12:$BA$78,19,FALSE),IF($AC$11=1,VLOOKUP($V36,#REF!,19,FALSE),""))</f>
        <v>95050703500001</v>
      </c>
      <c r="AJ36" s="224">
        <f ca="1">FLOOR(IF($AD36=1,AI36,IF($AD37=1,AI37,IF($AD38=1,AI38,AI39)))/10,1)</f>
        <v>9505070350000</v>
      </c>
      <c r="AL36" s="1159" t="str">
        <f ca="1">AE35</f>
        <v>GROEP E</v>
      </c>
      <c r="AM36" s="336" t="s">
        <v>67</v>
      </c>
      <c r="AN36" s="337" t="str">
        <f ca="1">IF($AD36=1,AE36,IF($AD37=1,AE37,IF($AD38=1,AE38,AE39)))</f>
        <v>België</v>
      </c>
      <c r="AO36" s="338">
        <f ca="1">IF($AD36=1,AF36,IF($AD37=1,AF37,IF($AD38=1,AF38,AF39)))</f>
        <v>9</v>
      </c>
      <c r="AP36" s="338">
        <f ca="1">IF($AD36=1,AG36,IF($AD37=1,AG37,IF($AD38=1,AG38,AG39)))</f>
        <v>7</v>
      </c>
      <c r="AQ36" s="338">
        <f ca="1">IF($AD36=1,AH36,IF($AD37=1,AH37,IF($AD38=1,AH38,AH39)))</f>
        <v>2</v>
      </c>
    </row>
    <row r="37" spans="1:43" ht="20.100000000000001" customHeight="1" x14ac:dyDescent="0.25">
      <c r="B37" s="17"/>
      <c r="C37" s="949"/>
      <c r="D37" s="1153" t="str">
        <f ca="1">IF($S$12=1,IF($AC$7=1,AB36,IF($AC$11=1,AC36,"")),IF(AND($S$12=2,OR($Y$37="LEEG",$Y$37="ONGELDIG")),IF($AC$7=1,AB36,IF($AC$11=1,AC36,"")),""))</f>
        <v>België</v>
      </c>
      <c r="E37" s="1153"/>
      <c r="F37" s="1153"/>
      <c r="G37" s="1153"/>
      <c r="H37" s="1153"/>
      <c r="I37" s="1153"/>
      <c r="J37" s="17"/>
      <c r="K37" s="1153" t="str">
        <f ca="1">IF($S$12=1,IF($AC$7=1,AB41,IF($AC$11=1,AC41,"")),IF(AND($S$12=2,OR($Z$37="LEEG",$Z$37="ONGELDIG")),IF($AC$7=1,AB41,IF($AC$11=1,AC41,"")),""))</f>
        <v>Portugal</v>
      </c>
      <c r="L37" s="1153"/>
      <c r="M37" s="1153"/>
      <c r="N37" s="1153"/>
      <c r="O37" s="1153"/>
      <c r="P37" s="1153"/>
      <c r="Q37" s="60"/>
      <c r="R37" s="17"/>
      <c r="S37" s="111">
        <f>S36+1</f>
        <v>3</v>
      </c>
      <c r="T37" s="85" t="str">
        <f ca="1">VLOOKUP(V37,Voorblad!$X$67:$Z$98,2,FALSE)</f>
        <v>Slowakije</v>
      </c>
      <c r="U37" s="10" t="str">
        <f ca="1">VLOOKUP(V37,Voorblad!$X$67:$Z$98,3,FALSE)</f>
        <v>SK</v>
      </c>
      <c r="V37" s="292" t="str">
        <f ca="1">V35&amp;2</f>
        <v>E2</v>
      </c>
      <c r="W37" s="589" t="str">
        <f>"|"&amp;Taal02!C28&amp;"|"&amp;Taal02!D28&amp;"|"&amp;Taal02!E28&amp;"|"&amp;Taal02!F28&amp;"|"&amp;Taal02!G28&amp;"|"&amp;Taal02!H28&amp;"|"&amp;Taal02!I28&amp;"|"&amp;Taal02!J28&amp;"|"</f>
        <v>|Slowakije|Slovakia|Slowakei|Slovakien|||||</v>
      </c>
      <c r="X37" s="196" t="s">
        <v>217</v>
      </c>
      <c r="Y37" s="144" t="str">
        <f>IF(Y36=1, "LEEG",IF(AND(Y36&gt;1,Y36&lt;6,TYPE(Y36+Y38+Y40+Y42)=1),IF(OR(Y36=Y38,Y36=Y40,Y36=Y42),"DUBBEL","GOED"),"ONGELDIG"))</f>
        <v>GOED</v>
      </c>
      <c r="Z37" s="144" t="str">
        <f>IF(Z36=1, "LEEG",IF(AND(Z36&gt;1,Z36&lt;6,TYPE(Z36+Z38+Z40+Z42)=1),IF(OR(Z36=Z38,Z36=Z40,Z36=Z42),"DUBBEL","GOED"),"ONGELDIG"))</f>
        <v>GOED</v>
      </c>
      <c r="AA37" s="263" t="str">
        <f ca="1">RIGHT(V37,1)</f>
        <v>2</v>
      </c>
      <c r="AB37" s="265" t="str">
        <f ca="1">Groepswedstrijden!AD77</f>
        <v>Slowakije / Oekraïne</v>
      </c>
      <c r="AC37" s="64" t="e">
        <f>#REF!</f>
        <v>#REF!</v>
      </c>
      <c r="AD37" s="143">
        <f ca="1">IF($AC$7=1,VLOOKUP($V37,Groepswedstrijden!$AH$12:$BA$78,20,FALSE),IF($AC$11=1,VLOOKUP($V37,#REF!,20,FALSE),""))</f>
        <v>2</v>
      </c>
      <c r="AE37" s="186" t="str">
        <f ca="1">IF($AC$7=1,VLOOKUP($V37,Groepswedstrijden!$AH$12:$BA$78,3,FALSE),IF($AC$11=1,VLOOKUP($V37,#REF!,3,FALSE),""))</f>
        <v>Slowakije</v>
      </c>
      <c r="AF37" s="143">
        <f ca="1">IF($AC$7=1,VLOOKUP($V37,Groepswedstrijden!$AH$12:$BA$78,9,FALSE),IF($AC$11=1,VLOOKUP($V37,#REF!,9,FALSE),""))</f>
        <v>4</v>
      </c>
      <c r="AG37" s="143">
        <f ca="1">IF($AC$7=1,VLOOKUP($V37,Groepswedstrijden!$AH$12:$BA$78,10,FALSE),IF($AC$11=1,VLOOKUP($V37,#REF!,10,FALSE),""))</f>
        <v>3</v>
      </c>
      <c r="AH37" s="143">
        <f ca="1">IF($AC$7=1,VLOOKUP($V37,Groepswedstrijden!$AH$12:$BA$78,11,FALSE),IF($AC$11=1,VLOOKUP($V37,#REF!,11,FALSE),""))</f>
        <v>3</v>
      </c>
      <c r="AI37" s="219">
        <f ca="1">IF($AC$7=1,VLOOKUP($V37,Groepswedstrijden!$AH$12:$BA$78,19,FALSE),IF($AC$11=1,VLOOKUP($V37,#REF!,19,FALSE),""))</f>
        <v>45000303500004</v>
      </c>
      <c r="AJ37" s="224">
        <f ca="1">FLOOR(IF($AD36=2,AI36,IF($AD37=2,AI37,IF($AD38=2,AI38,AI39)))/10,1)</f>
        <v>4500030350000</v>
      </c>
      <c r="AL37" s="1160"/>
      <c r="AM37" s="339" t="str">
        <f ca="1">IF(AJ37=AJ36,"","2.")</f>
        <v>2.</v>
      </c>
      <c r="AN37" s="340" t="str">
        <f ca="1">IF($AD36=2,AE36,IF($AD37=2,AE37,IF($AD38=2,AE38,AE39)))</f>
        <v>Slowakije</v>
      </c>
      <c r="AO37" s="341">
        <f ca="1">IF($AD36=2,AF36,IF($AD37=2,AF37,IF($AD38=2,AF38,AF39)))</f>
        <v>4</v>
      </c>
      <c r="AP37" s="341">
        <f ca="1">IF($AD36=2,AG36,IF($AD37=2,AG37,IF($AD38=2,AG38,AG39)))</f>
        <v>3</v>
      </c>
      <c r="AQ37" s="341">
        <f ca="1">IF($AD36=2,AH36,IF($AD37=2,AH37,IF($AD38=2,AH38,AH39)))</f>
        <v>3</v>
      </c>
    </row>
    <row r="38" spans="1:43" ht="15" customHeight="1" x14ac:dyDescent="0.25">
      <c r="B38" s="17"/>
      <c r="C38" s="949"/>
      <c r="D38" s="335" t="s">
        <v>213</v>
      </c>
      <c r="E38" s="820" t="s">
        <v>2468</v>
      </c>
      <c r="F38" s="587" t="str">
        <f>IF(Y39="LEEG","▼","")</f>
        <v/>
      </c>
      <c r="G38" s="17"/>
      <c r="H38" s="17"/>
      <c r="I38" s="17"/>
      <c r="J38" s="17"/>
      <c r="K38" s="335" t="s">
        <v>213</v>
      </c>
      <c r="L38" s="821" t="s">
        <v>2204</v>
      </c>
      <c r="M38" s="587" t="str">
        <f>IF(Z39="LEEG","▼","")</f>
        <v/>
      </c>
      <c r="N38" s="17"/>
      <c r="O38" s="17"/>
      <c r="P38" s="17"/>
      <c r="Q38" s="60"/>
      <c r="R38" s="17"/>
      <c r="S38" s="111">
        <f>S37+1</f>
        <v>4</v>
      </c>
      <c r="T38" s="85" t="str">
        <f ca="1">VLOOKUP(V38,Voorblad!$X$67:$Z$98,2,FALSE)</f>
        <v>Roemenië</v>
      </c>
      <c r="U38" s="10" t="str">
        <f ca="1">VLOOKUP(V38,Voorblad!$X$67:$Z$98,3,FALSE)</f>
        <v>RO</v>
      </c>
      <c r="V38" s="292" t="str">
        <f ca="1">V35&amp;3</f>
        <v>E3</v>
      </c>
      <c r="W38" s="589" t="str">
        <f>"|"&amp;Taal02!C29&amp;"|"&amp;Taal02!D29&amp;"|"&amp;Taal02!E29&amp;"|"&amp;Taal02!F29&amp;"|"&amp;Taal02!G29&amp;"|"&amp;Taal02!H29&amp;"|"&amp;Taal02!I29&amp;"|"&amp;Taal02!J29&amp;"|"</f>
        <v>|Roemenië|Romania|Rumänien|Rumänien|||||</v>
      </c>
      <c r="X38" s="196" t="s">
        <v>218</v>
      </c>
      <c r="Y38" s="144">
        <f>IF(ISBLANK(E38),1,IF(SUBSTITUTE(W36,E38,"#")&lt;&gt;W36,2,IF(SUBSTITUTE(W37,E38,"#")&lt;&gt;W37,3,IF(SUBSTITUTE(W38,E38,"#")&lt;&gt;W38,4,IF(SUBSTITUTE(W39,E38,"#")&lt;&gt;W39,5,6)))))</f>
        <v>5</v>
      </c>
      <c r="Z38" s="144">
        <f>IF(ISBLANK(L38),1,IF(SUBSTITUTE(W41,L38,"#")&lt;&gt;W41,2,IF(SUBSTITUTE(W42,L38,"#")&lt;&gt;W42,3,IF(SUBSTITUTE(W43,L38,"#")&lt;&gt;W43,4,IF(SUBSTITUTE(W44,L38,"#")&lt;&gt;W44,5,6)))))</f>
        <v>2</v>
      </c>
      <c r="AA38" s="263" t="str">
        <f ca="1">RIGHT(V38,1)</f>
        <v>3</v>
      </c>
      <c r="AB38" s="265" t="str">
        <f ca="1">Groepswedstrijden!AD78</f>
        <v>Slowakije / Oekraïne</v>
      </c>
      <c r="AC38" s="64" t="e">
        <f>#REF!</f>
        <v>#REF!</v>
      </c>
      <c r="AD38" s="143">
        <f ca="1">IF($AC$7=1,VLOOKUP($V38,Groepswedstrijden!$AH$12:$BA$78,20,FALSE),IF($AC$11=1,VLOOKUP($V38,#REF!,20,FALSE),""))</f>
        <v>4</v>
      </c>
      <c r="AE38" s="186" t="str">
        <f ca="1">IF($AC$7=1,VLOOKUP($V38,Groepswedstrijden!$AH$12:$BA$78,3,FALSE),IF($AC$11=1,VLOOKUP($V38,#REF!,3,FALSE),""))</f>
        <v>Roemenië</v>
      </c>
      <c r="AF38" s="143">
        <f ca="1">IF($AC$7=1,VLOOKUP($V38,Groepswedstrijden!$AH$12:$BA$78,9,FALSE),IF($AC$11=1,VLOOKUP($V38,#REF!,9,FALSE),""))</f>
        <v>0</v>
      </c>
      <c r="AG38" s="143">
        <f ca="1">IF($AC$7=1,VLOOKUP($V38,Groepswedstrijden!$AH$12:$BA$78,10,FALSE),IF($AC$11=1,VLOOKUP($V38,#REF!,10,FALSE),""))</f>
        <v>1</v>
      </c>
      <c r="AH38" s="143">
        <f ca="1">IF($AC$7=1,VLOOKUP($V38,Groepswedstrijden!$AH$12:$BA$78,11,FALSE),IF($AC$11=1,VLOOKUP($V38,#REF!,11,FALSE),""))</f>
        <v>6</v>
      </c>
      <c r="AI38" s="219">
        <f ca="1">IF($AC$7=1,VLOOKUP($V38,Groepswedstrijden!$AH$12:$BA$78,19,FALSE),IF($AC$11=1,VLOOKUP($V38,#REF!,19,FALSE),""))</f>
        <v>4950103500003</v>
      </c>
      <c r="AJ38" s="224">
        <f ca="1">FLOOR(IF($AD36=3,AI36,IF($AD37=3,AI37,IF($AD38=3,AI38,AI39)))/10,1)</f>
        <v>4500020350000</v>
      </c>
      <c r="AL38" s="1160"/>
      <c r="AM38" s="339" t="str">
        <f ca="1">IF(AJ38=AJ37,"","3.")</f>
        <v>3.</v>
      </c>
      <c r="AN38" s="340" t="str">
        <f ca="1">IF($AD36=3,AE36,IF($AD37=3,AE37,IF($AD38=3,AE38,AE39)))</f>
        <v>Oekraïne</v>
      </c>
      <c r="AO38" s="341">
        <f ca="1">IF($AD36=3,AF36,IF($AD37=3,AF37,IF($AD38=3,AF38,AF39)))</f>
        <v>4</v>
      </c>
      <c r="AP38" s="341">
        <f ca="1">IF($AD36=3,AG36,IF($AD37=3,AG37,IF($AD38=3,AG38,AG39)))</f>
        <v>2</v>
      </c>
      <c r="AQ38" s="341">
        <f ca="1">IF($AD36=3,AH36,IF($AD37=3,AH37,IF($AD38=3,AH38,AH39)))</f>
        <v>2</v>
      </c>
    </row>
    <row r="39" spans="1:43" ht="20.100000000000001" customHeight="1" x14ac:dyDescent="0.25">
      <c r="B39" s="17"/>
      <c r="C39" s="949"/>
      <c r="D39" s="1153" t="str">
        <f ca="1">IF($S$12=1,IF($AC$7=1,AB37,IF($AC$11=1,AC37,"")),IF(AND($S$12=2,OR($Y$39="LEEG",$Y$39="ONGELDIG")),IF($AC$7=1,AB37,IF($AC$11=1,AC37,"")),""))</f>
        <v>Slowakije / Oekraïne</v>
      </c>
      <c r="E39" s="1153"/>
      <c r="F39" s="1153"/>
      <c r="G39" s="1153"/>
      <c r="H39" s="1153"/>
      <c r="I39" s="1153"/>
      <c r="J39" s="17"/>
      <c r="K39" s="1153" t="str">
        <f ca="1">IF($S$12=1,IF($AC$7=1,AB42,IF($AC$11=1,AC42,"")),IF(AND($S$12=2,OR($Z$39="LEEG",$Z$39="ONGELDIG")),IF($AC$7=1,AB42,IF($AC$11=1,AC42,"")),""))</f>
        <v>Turkije</v>
      </c>
      <c r="L39" s="1153"/>
      <c r="M39" s="1153"/>
      <c r="N39" s="1153"/>
      <c r="O39" s="1153"/>
      <c r="P39" s="1153"/>
      <c r="Q39" s="60"/>
      <c r="R39" s="17"/>
      <c r="S39" s="111">
        <f>S38+1</f>
        <v>5</v>
      </c>
      <c r="T39" s="136" t="str">
        <f ca="1">VLOOKUP(V39,Voorblad!$X$67:$Z$98,2,FALSE)</f>
        <v>Oekraïne</v>
      </c>
      <c r="U39" s="53" t="str">
        <f ca="1">VLOOKUP(V39,Voorblad!$X$67:$Z$98,3,FALSE)</f>
        <v>UA</v>
      </c>
      <c r="V39" s="295" t="str">
        <f ca="1">V35&amp;4</f>
        <v>E4</v>
      </c>
      <c r="W39" s="589" t="str">
        <f>"|"&amp;Taal02!C30&amp;"|"&amp;Taal02!D30&amp;"|"&amp;Taal02!E30&amp;"|"&amp;Taal02!F30&amp;"|"&amp;Taal02!G30&amp;"|"&amp;Taal02!H30&amp;"|"&amp;Taal02!I30&amp;"|"&amp;Taal02!J30&amp;"|"</f>
        <v>|Oekraïne|Ukraine|Ukraine|Ukraina|||||</v>
      </c>
      <c r="X39" s="196" t="s">
        <v>219</v>
      </c>
      <c r="Y39" s="144" t="str">
        <f>IF(Y38=1, "LEEG",IF(AND(Y38&gt;1,Y38&lt;6,TYPE(Y36+Y38+Y40+Y42)=1),IF(OR(Y38=Y36,Y38=Y40,Y38=Y42),"DUBBEL","GOED"),"ONGELDIG"))</f>
        <v>GOED</v>
      </c>
      <c r="Z39" s="144" t="str">
        <f>IF(Z38=1, "LEEG",IF(AND(Z38&gt;1,Z38&lt;6,TYPE(Z36+Z38+Z40+Z42)=1),IF(OR(Z38=Z36,Z38=Z40,Z38=Z42),"DUBBEL","GOED"),"ONGELDIG"))</f>
        <v>GOED</v>
      </c>
      <c r="AA39" s="263" t="str">
        <f ca="1">RIGHT(V39,1)</f>
        <v>4</v>
      </c>
      <c r="AB39" s="265" t="str">
        <f ca="1">Groepswedstrijden!AD79</f>
        <v>Roemenië</v>
      </c>
      <c r="AC39" s="64" t="e">
        <f>#REF!</f>
        <v>#REF!</v>
      </c>
      <c r="AD39" s="143">
        <f ca="1">IF($AC$7=1,VLOOKUP($V39,Groepswedstrijden!$AH$12:$BA$78,20,FALSE),IF($AC$11=1,VLOOKUP($V39,#REF!,20,FALSE),""))</f>
        <v>3</v>
      </c>
      <c r="AE39" s="186" t="str">
        <f ca="1">IF($AC$7=1,VLOOKUP($V39,Groepswedstrijden!$AH$12:$BA$78,3,FALSE),IF($AC$11=1,VLOOKUP($V39,#REF!,3,FALSE),""))</f>
        <v>Oekraïne</v>
      </c>
      <c r="AF39" s="143">
        <f ca="1">IF($AC$7=1,VLOOKUP($V39,Groepswedstrijden!$AH$12:$BA$78,9,FALSE),IF($AC$11=1,VLOOKUP($V39,#REF!,9,FALSE),""))</f>
        <v>4</v>
      </c>
      <c r="AG39" s="143">
        <f ca="1">IF($AC$7=1,VLOOKUP($V39,Groepswedstrijden!$AH$12:$BA$78,10,FALSE),IF($AC$11=1,VLOOKUP($V39,#REF!,10,FALSE),""))</f>
        <v>2</v>
      </c>
      <c r="AH39" s="143">
        <f ca="1">IF($AC$7=1,VLOOKUP($V39,Groepswedstrijden!$AH$12:$BA$78,11,FALSE),IF($AC$11=1,VLOOKUP($V39,#REF!,11,FALSE),""))</f>
        <v>2</v>
      </c>
      <c r="AI39" s="219">
        <f ca="1">IF($AC$7=1,VLOOKUP($V39,Groepswedstrijden!$AH$12:$BA$78,19,FALSE),IF($AC$11=1,VLOOKUP($V39,#REF!,19,FALSE),""))</f>
        <v>45000203500002</v>
      </c>
      <c r="AJ39" s="224">
        <f ca="1">FLOOR(IF($AD36=4,AI36,IF($AD37=4,AI37,IF($AD38=4,AI38,AI39)))/10,1)</f>
        <v>495010350000</v>
      </c>
      <c r="AL39" s="1161"/>
      <c r="AM39" s="342" t="str">
        <f ca="1">IF(AJ39=AJ38,"","4.")</f>
        <v>4.</v>
      </c>
      <c r="AN39" s="343" t="str">
        <f ca="1">IF($AD36=4,AE36,IF($AD37=4,AE37,IF($AD38=4,AE38,AE39)))</f>
        <v>Roemenië</v>
      </c>
      <c r="AO39" s="344">
        <f ca="1">IF($AD36=4,AF36,IF($AD37=4,AF37,IF($AD38=4,AF38,AF39)))</f>
        <v>0</v>
      </c>
      <c r="AP39" s="344">
        <f ca="1">IF($AD36=4,AG36,IF($AD37=4,AG37,IF($AD38=4,AG38,AG39)))</f>
        <v>1</v>
      </c>
      <c r="AQ39" s="344">
        <f ca="1">IF($AD36=4,AH36,IF($AD37=4,AH37,IF($AD38=4,AH38,AH39)))</f>
        <v>6</v>
      </c>
    </row>
    <row r="40" spans="1:43" ht="15" customHeight="1" x14ac:dyDescent="0.25">
      <c r="B40" s="17"/>
      <c r="C40" s="949"/>
      <c r="D40" s="335" t="s">
        <v>214</v>
      </c>
      <c r="E40" s="820" t="s">
        <v>2200</v>
      </c>
      <c r="F40" s="587" t="str">
        <f>IF(Y41="LEEG","▼","")</f>
        <v/>
      </c>
      <c r="G40" s="17"/>
      <c r="H40" s="17"/>
      <c r="I40" s="17"/>
      <c r="J40" s="17"/>
      <c r="K40" s="335" t="s">
        <v>214</v>
      </c>
      <c r="L40" s="821" t="s">
        <v>2203</v>
      </c>
      <c r="M40" s="587" t="str">
        <f>IF(Z41="LEEG","▼","")</f>
        <v/>
      </c>
      <c r="N40" s="17"/>
      <c r="O40" s="17"/>
      <c r="P40" s="17"/>
      <c r="Q40" s="60"/>
      <c r="R40" s="17"/>
      <c r="S40" s="111">
        <v>1</v>
      </c>
      <c r="T40" s="135"/>
      <c r="U40" s="50"/>
      <c r="V40" s="289" t="str">
        <f ca="1">RIGHT(K34,1)</f>
        <v>F</v>
      </c>
      <c r="W40" s="588"/>
      <c r="X40" s="196" t="s">
        <v>220</v>
      </c>
      <c r="Y40" s="144">
        <f>IF(ISBLANK(E40),1,IF(SUBSTITUTE(W36,E40,"#")&lt;&gt;W36,2,IF(SUBSTITUTE(W37,E40,"#")&lt;&gt;W37,3,IF(SUBSTITUTE(W38,E40,"#")&lt;&gt;W38,4,IF(SUBSTITUTE(W39,E40,"#")&lt;&gt;W39,5,6)))))</f>
        <v>3</v>
      </c>
      <c r="Z40" s="144">
        <f>IF(ISBLANK(L40),1,IF(SUBSTITUTE(W41,L40,"#")&lt;&gt;W41,2,IF(SUBSTITUTE(W42,L40,"#")&lt;&gt;W42,3,IF(SUBSTITUTE(W43,L40,"#")&lt;&gt;W43,4,IF(SUBSTITUTE(W44,L40,"#")&lt;&gt;W44,5,6)))))</f>
        <v>5</v>
      </c>
      <c r="AA40" s="64"/>
      <c r="AB40" s="264" t="str">
        <f ca="1">UPPER(Taal04!$B$26)&amp;" "&amp;V40</f>
        <v>GROEP F</v>
      </c>
      <c r="AC40" s="263" t="str">
        <f ca="1">AB40</f>
        <v>GROEP F</v>
      </c>
      <c r="AD40" s="143"/>
      <c r="AE40" s="187" t="str">
        <f ca="1">AB40</f>
        <v>GROEP F</v>
      </c>
      <c r="AF40" s="143"/>
      <c r="AG40" s="143"/>
      <c r="AH40" s="143"/>
      <c r="AI40" s="219"/>
      <c r="AJ40" s="223"/>
      <c r="AL40" s="602" t="str">
        <f>IF(AF8="JA","","└ "&amp;SUBSTITUTE(Taal04!B62,"#",RIGHT(AL36,1)))</f>
        <v/>
      </c>
      <c r="AM40" s="601"/>
      <c r="AP40" s="603"/>
      <c r="AQ40" s="603"/>
    </row>
    <row r="41" spans="1:43" ht="20.100000000000001" customHeight="1" x14ac:dyDescent="0.25">
      <c r="B41" s="17"/>
      <c r="C41" s="949"/>
      <c r="D41" s="1153" t="str">
        <f ca="1">IF($S$12=1,IF($AC$7=1,AB38,IF($AC$11=1,AC38,"")),IF(AND($S$12=2,OR($Y$41="LEEG",$Y$41="ONGELDIG")),IF($AC$7=1,AB38,IF($AC$11=1,AC38,"")),""))</f>
        <v>Slowakije / Oekraïne</v>
      </c>
      <c r="E41" s="1153"/>
      <c r="F41" s="1153"/>
      <c r="G41" s="1153"/>
      <c r="H41" s="1153"/>
      <c r="I41" s="1153"/>
      <c r="J41" s="17"/>
      <c r="K41" s="1153" t="str">
        <f ca="1">IF($S$12=1,IF($AC$7=1,AB43,IF($AC$11=1,AC43,"")),IF(AND($S$12=2,OR($Z$41="LEEG",$Z$41="ONGELDIG")),IF($AC$7=1,AB43,IF($AC$11=1,AC43,"")),""))</f>
        <v>Tsjechië</v>
      </c>
      <c r="L41" s="1153"/>
      <c r="M41" s="1153"/>
      <c r="N41" s="1153"/>
      <c r="O41" s="1153"/>
      <c r="P41" s="1153"/>
      <c r="Q41" s="60"/>
      <c r="R41" s="17"/>
      <c r="S41" s="111">
        <f>S40+1</f>
        <v>2</v>
      </c>
      <c r="T41" s="85" t="str">
        <f ca="1">VLOOKUP(V41,Voorblad!$X$67:$Z$98,2,FALSE)</f>
        <v>Turkije</v>
      </c>
      <c r="U41" s="10" t="str">
        <f ca="1">VLOOKUP(V41,Voorblad!$X$67:$Z$98,3,FALSE)</f>
        <v>TR</v>
      </c>
      <c r="V41" s="292" t="str">
        <f ca="1">V40&amp;1</f>
        <v>F1</v>
      </c>
      <c r="W41" s="589" t="str">
        <f>"|"&amp;Taal02!C32&amp;"|"&amp;Taal02!D32&amp;"|"&amp;Taal02!E32&amp;"|"&amp;Taal02!F32&amp;"|"&amp;Taal02!G32&amp;"|"&amp;Taal02!H32&amp;"|"&amp;Taal02!I32&amp;"|"&amp;Taal02!J32&amp;"|"</f>
        <v>|Turkije|Turkey|Türkei|Turkiet|||||</v>
      </c>
      <c r="X41" s="196" t="s">
        <v>221</v>
      </c>
      <c r="Y41" s="144" t="str">
        <f>IF(Y40=1, "LEEG",IF(AND(Y40&gt;1,Y40&lt;6,TYPE(Y36+Y38+Y40+Y42)=1),IF(OR(Y40=Y36,Y40=Y38,Y40=Y42),"DUBBEL","GOED"),"ONGELDIG"))</f>
        <v>GOED</v>
      </c>
      <c r="Z41" s="144" t="str">
        <f>IF(Z40=1, "LEEG",IF(AND(Z40&gt;1,Z40&lt;6,TYPE(Z36+Z38+Z40+Z42)=1),IF(OR(Z40=Z36,Z40=Z38,Z40=Z42),"DUBBEL","GOED"),"ONGELDIG"))</f>
        <v>GOED</v>
      </c>
      <c r="AA41" s="263" t="str">
        <f ca="1">RIGHT(V41,1)</f>
        <v>1</v>
      </c>
      <c r="AB41" s="265" t="str">
        <f ca="1">Groepswedstrijden!AE76</f>
        <v>Portugal</v>
      </c>
      <c r="AC41" s="64" t="e">
        <f>#REF!</f>
        <v>#REF!</v>
      </c>
      <c r="AD41" s="143">
        <f ca="1">IF($AC$7=1,VLOOKUP($V41,Groepswedstrijden!$AH$12:$BA$78,20,FALSE),IF($AC$11=1,VLOOKUP($V41,#REF!,20,FALSE),""))</f>
        <v>2</v>
      </c>
      <c r="AE41" s="186" t="str">
        <f ca="1">IF($AC$7=1,VLOOKUP($V41,Groepswedstrijden!$AH$12:$BA$78,3,FALSE),IF($AC$11=1,VLOOKUP($V41,#REF!,3,FALSE),""))</f>
        <v>Turkije</v>
      </c>
      <c r="AF41" s="143">
        <f ca="1">IF($AC$7=1,VLOOKUP($V41,Groepswedstrijden!$AH$12:$BA$78,9,FALSE),IF($AC$11=1,VLOOKUP($V41,#REF!,9,FALSE),""))</f>
        <v>6</v>
      </c>
      <c r="AG41" s="143">
        <f ca="1">IF($AC$7=1,VLOOKUP($V41,Groepswedstrijden!$AH$12:$BA$78,10,FALSE),IF($AC$11=1,VLOOKUP($V41,#REF!,10,FALSE),""))</f>
        <v>6</v>
      </c>
      <c r="AH41" s="143">
        <f ca="1">IF($AC$7=1,VLOOKUP($V41,Groepswedstrijden!$AH$12:$BA$78,11,FALSE),IF($AC$11=1,VLOOKUP($V41,#REF!,11,FALSE),""))</f>
        <v>5</v>
      </c>
      <c r="AI41" s="219">
        <f ca="1">IF($AC$7=1,VLOOKUP($V41,Groepswedstrijden!$AH$12:$BA$78,19,FALSE),IF($AC$11=1,VLOOKUP($V41,#REF!,19,FALSE),""))</f>
        <v>65010603500004</v>
      </c>
      <c r="AJ41" s="224">
        <f ca="1">FLOOR(IF($AD41=1,AI41,IF($AD42=1,AI42,IF($AD43=1,AI43,AI44)))/10,1)</f>
        <v>9506070350000</v>
      </c>
      <c r="AL41" s="1159" t="str">
        <f ca="1">AE40</f>
        <v>GROEP F</v>
      </c>
      <c r="AM41" s="336" t="s">
        <v>67</v>
      </c>
      <c r="AN41" s="337" t="str">
        <f ca="1">IF($AD41=1,AE41,IF($AD42=1,AE42,IF($AD43=1,AE43,AE44)))</f>
        <v>Portugal</v>
      </c>
      <c r="AO41" s="338">
        <f ca="1">IF($AD41=1,AF41,IF($AD42=1,AF42,IF($AD43=1,AF43,AF44)))</f>
        <v>9</v>
      </c>
      <c r="AP41" s="338">
        <f ca="1">IF($AD41=1,AG41,IF($AD42=1,AG42,IF($AD43=1,AG43,AG44)))</f>
        <v>7</v>
      </c>
      <c r="AQ41" s="338">
        <f ca="1">IF($AD41=1,AH41,IF($AD42=1,AH42,IF($AD43=1,AH43,AH44)))</f>
        <v>1</v>
      </c>
    </row>
    <row r="42" spans="1:43" ht="15" customHeight="1" x14ac:dyDescent="0.25">
      <c r="B42" s="17"/>
      <c r="C42" s="949"/>
      <c r="D42" s="335" t="s">
        <v>215</v>
      </c>
      <c r="E42" s="820" t="s">
        <v>2202</v>
      </c>
      <c r="F42" s="587" t="str">
        <f>IF(Y43="LEEG","▼","")</f>
        <v/>
      </c>
      <c r="G42" s="17"/>
      <c r="H42" s="17"/>
      <c r="I42" s="17"/>
      <c r="J42" s="17"/>
      <c r="K42" s="335" t="s">
        <v>215</v>
      </c>
      <c r="L42" s="821" t="s">
        <v>2470</v>
      </c>
      <c r="M42" s="587" t="str">
        <f>IF(Z43="LEEG","▼","")</f>
        <v/>
      </c>
      <c r="N42" s="17"/>
      <c r="O42" s="17"/>
      <c r="P42" s="17"/>
      <c r="Q42" s="60"/>
      <c r="R42" s="17"/>
      <c r="S42" s="111">
        <f>S41+1</f>
        <v>3</v>
      </c>
      <c r="T42" s="85" t="str">
        <f ca="1">VLOOKUP(V42,Voorblad!$X$67:$Z$98,2,FALSE)</f>
        <v>Georgië</v>
      </c>
      <c r="U42" s="10" t="str">
        <f ca="1">VLOOKUP(V42,Voorblad!$X$67:$Z$98,3,FALSE)</f>
        <v>GE</v>
      </c>
      <c r="V42" s="292" t="str">
        <f ca="1">V40&amp;2</f>
        <v>F2</v>
      </c>
      <c r="W42" s="589" t="str">
        <f>"|"&amp;Taal02!C33&amp;"|"&amp;Taal02!D33&amp;"|"&amp;Taal02!E33&amp;"|"&amp;Taal02!F33&amp;"|"&amp;Taal02!G33&amp;"|"&amp;Taal02!H33&amp;"|"&amp;Taal02!I33&amp;"|"&amp;Taal02!J33&amp;"|"</f>
        <v>|Georgië|Georgia|Georgien|Georgien|||||</v>
      </c>
      <c r="X42" s="196" t="s">
        <v>222</v>
      </c>
      <c r="Y42" s="144">
        <f>IF(ISBLANK(E42),1,IF(SUBSTITUTE(W36,E42,"#")&lt;&gt;W36,2,IF(SUBSTITUTE(W37,E42,"#")&lt;&gt;W37,3,IF(SUBSTITUTE(W38,E42,"#")&lt;&gt;W38,4,IF(SUBSTITUTE(W39,E42,"#")&lt;&gt;W39,5,6)))))</f>
        <v>4</v>
      </c>
      <c r="Z42" s="144">
        <f>IF(ISBLANK(L42),1,IF(SUBSTITUTE(W41,L42,"#")&lt;&gt;W41,2,IF(SUBSTITUTE(W42,L42,"#")&lt;&gt;W42,3,IF(SUBSTITUTE(W43,L42,"#")&lt;&gt;W43,4,IF(SUBSTITUTE(W44,L42,"#")&lt;&gt;W44,5,6)))))</f>
        <v>3</v>
      </c>
      <c r="AA42" s="263" t="str">
        <f ca="1">RIGHT(V42,1)</f>
        <v>2</v>
      </c>
      <c r="AB42" s="265" t="str">
        <f ca="1">Groepswedstrijden!AE77</f>
        <v>Turkije</v>
      </c>
      <c r="AC42" s="64" t="e">
        <f>#REF!</f>
        <v>#REF!</v>
      </c>
      <c r="AD42" s="143">
        <f ca="1">IF($AC$7=1,VLOOKUP($V42,Groepswedstrijden!$AH$12:$BA$78,20,FALSE),IF($AC$11=1,VLOOKUP($V42,#REF!,20,FALSE),""))</f>
        <v>4</v>
      </c>
      <c r="AE42" s="186" t="str">
        <f ca="1">IF($AC$7=1,VLOOKUP($V42,Groepswedstrijden!$AH$12:$BA$78,3,FALSE),IF($AC$11=1,VLOOKUP($V42,#REF!,3,FALSE),""))</f>
        <v>Georgië</v>
      </c>
      <c r="AF42" s="143">
        <f ca="1">IF($AC$7=1,VLOOKUP($V42,Groepswedstrijden!$AH$12:$BA$78,9,FALSE),IF($AC$11=1,VLOOKUP($V42,#REF!,9,FALSE),""))</f>
        <v>0</v>
      </c>
      <c r="AG42" s="143">
        <f ca="1">IF($AC$7=1,VLOOKUP($V42,Groepswedstrijden!$AH$12:$BA$78,10,FALSE),IF($AC$11=1,VLOOKUP($V42,#REF!,10,FALSE),""))</f>
        <v>2</v>
      </c>
      <c r="AH42" s="143">
        <f ca="1">IF($AC$7=1,VLOOKUP($V42,Groepswedstrijden!$AH$12:$BA$78,11,FALSE),IF($AC$11=1,VLOOKUP($V42,#REF!,11,FALSE),""))</f>
        <v>6</v>
      </c>
      <c r="AI42" s="219">
        <f ca="1">IF($AC$7=1,VLOOKUP($V42,Groepswedstrijden!$AH$12:$BA$78,19,FALSE),IF($AC$11=1,VLOOKUP($V42,#REF!,19,FALSE),""))</f>
        <v>4960203500001</v>
      </c>
      <c r="AJ42" s="224">
        <f ca="1">FLOOR(IF($AD41=2,AI41,IF($AD42=2,AI42,IF($AD43=2,AI43,AI44)))/10,1)</f>
        <v>6501060350000</v>
      </c>
      <c r="AL42" s="1160"/>
      <c r="AM42" s="339" t="str">
        <f ca="1">IF(AJ42=AJ41,"","2.")</f>
        <v>2.</v>
      </c>
      <c r="AN42" s="340" t="str">
        <f ca="1">IF($AD41=2,AE41,IF($AD42=2,AE42,IF($AD43=2,AE43,AE44)))</f>
        <v>Turkije</v>
      </c>
      <c r="AO42" s="341">
        <f ca="1">IF($AD41=2,AF41,IF($AD42=2,AF42,IF($AD43=2,AF43,AF44)))</f>
        <v>6</v>
      </c>
      <c r="AP42" s="341">
        <f ca="1">IF($AD41=2,AG41,IF($AD42=2,AG42,IF($AD43=2,AG43,AG44)))</f>
        <v>6</v>
      </c>
      <c r="AQ42" s="341">
        <f ca="1">IF($AD41=2,AH41,IF($AD42=2,AH42,IF($AD43=2,AH43,AH44)))</f>
        <v>5</v>
      </c>
    </row>
    <row r="43" spans="1:43" ht="20.100000000000001" customHeight="1" x14ac:dyDescent="0.25">
      <c r="B43" s="17"/>
      <c r="C43" s="949"/>
      <c r="D43" s="1153" t="str">
        <f ca="1">IF($S$12=1,IF($AC$7=1,AB39,IF($AC$11=1,AC39,"")),IF(AND($S$12=2,OR($Y$43="LEEG",$Y$43="ONGELDIG")),IF($AC$7=1,AB39,IF($AC$11=1,AC39,"")),""))</f>
        <v>Roemenië</v>
      </c>
      <c r="E43" s="1153"/>
      <c r="F43" s="1153"/>
      <c r="G43" s="1153"/>
      <c r="H43" s="1153"/>
      <c r="I43" s="1153"/>
      <c r="J43" s="17"/>
      <c r="K43" s="1153" t="str">
        <f ca="1">IF($S$12=1,IF($AC$7=1,AB44,IF($AC$11=1,AC44,"")),IF(AND($S$12=2,OR($Z$43="LEEG",$Z$43="ONGELDIG")),IF($AC$7=1,AB44,IF($AC$11=1,AC44,"")),""))</f>
        <v>Georgië</v>
      </c>
      <c r="L43" s="1153"/>
      <c r="M43" s="1153"/>
      <c r="N43" s="1153"/>
      <c r="O43" s="1153"/>
      <c r="P43" s="1153"/>
      <c r="Q43" s="60"/>
      <c r="R43" s="17"/>
      <c r="S43" s="111">
        <f>S42+1</f>
        <v>4</v>
      </c>
      <c r="T43" s="85" t="str">
        <f ca="1">VLOOKUP(V43,Voorblad!$X$67:$Z$98,2,FALSE)</f>
        <v>Portugal</v>
      </c>
      <c r="U43" s="10" t="str">
        <f ca="1">VLOOKUP(V43,Voorblad!$X$67:$Z$98,3,FALSE)</f>
        <v>PT</v>
      </c>
      <c r="V43" s="292" t="str">
        <f ca="1">V40&amp;3</f>
        <v>F3</v>
      </c>
      <c r="W43" s="589" t="str">
        <f>"|"&amp;Taal02!C34&amp;"|"&amp;Taal02!D34&amp;"|"&amp;Taal02!E34&amp;"|"&amp;Taal02!F34&amp;"|"&amp;Taal02!G34&amp;"|"&amp;Taal02!H34&amp;"|"&amp;Taal02!I34&amp;"|"&amp;Taal02!J34&amp;"|"</f>
        <v>|Portugal|Portugal|Portugal|Portugal|||||</v>
      </c>
      <c r="X43" s="196" t="s">
        <v>223</v>
      </c>
      <c r="Y43" s="144" t="str">
        <f>IF(Y42=1, "LEEG",IF(AND(Y42&gt;1,Y42&lt;6,TYPE(Y36+Y38+Y40+Y42)=1),IF(OR(Y42=Y36,Y42=Y38,Y42=Y40),"DUBBEL","GOED"),"ONGELDIG"))</f>
        <v>GOED</v>
      </c>
      <c r="Z43" s="144" t="str">
        <f>IF(Z42=1, "LEEG",IF(AND(Z42&gt;1,Z42&lt;6,TYPE(Z36+Z38+Z40+Z42)=1),IF(OR(Z42=Z36,Z42=Z38,Z42=Z40),"DUBBEL","GOED"),"ONGELDIG"))</f>
        <v>GOED</v>
      </c>
      <c r="AA43" s="263" t="str">
        <f ca="1">RIGHT(V43,1)</f>
        <v>3</v>
      </c>
      <c r="AB43" s="265" t="str">
        <f ca="1">Groepswedstrijden!AE78</f>
        <v>Tsjechië</v>
      </c>
      <c r="AC43" s="64" t="e">
        <f>#REF!</f>
        <v>#REF!</v>
      </c>
      <c r="AD43" s="143">
        <f ca="1">IF($AC$7=1,VLOOKUP($V43,Groepswedstrijden!$AH$12:$BA$78,20,FALSE),IF($AC$11=1,VLOOKUP($V43,#REF!,20,FALSE),""))</f>
        <v>1</v>
      </c>
      <c r="AE43" s="186" t="str">
        <f ca="1">IF($AC$7=1,VLOOKUP($V43,Groepswedstrijden!$AH$12:$BA$78,3,FALSE),IF($AC$11=1,VLOOKUP($V43,#REF!,3,FALSE),""))</f>
        <v>Portugal</v>
      </c>
      <c r="AF43" s="143">
        <f ca="1">IF($AC$7=1,VLOOKUP($V43,Groepswedstrijden!$AH$12:$BA$78,9,FALSE),IF($AC$11=1,VLOOKUP($V43,#REF!,9,FALSE),""))</f>
        <v>9</v>
      </c>
      <c r="AG43" s="143">
        <f ca="1">IF($AC$7=1,VLOOKUP($V43,Groepswedstrijden!$AH$12:$BA$78,10,FALSE),IF($AC$11=1,VLOOKUP($V43,#REF!,10,FALSE),""))</f>
        <v>7</v>
      </c>
      <c r="AH43" s="143">
        <f ca="1">IF($AC$7=1,VLOOKUP($V43,Groepswedstrijden!$AH$12:$BA$78,11,FALSE),IF($AC$11=1,VLOOKUP($V43,#REF!,11,FALSE),""))</f>
        <v>1</v>
      </c>
      <c r="AI43" s="219">
        <f ca="1">IF($AC$7=1,VLOOKUP($V43,Groepswedstrijden!$AH$12:$BA$78,19,FALSE),IF($AC$11=1,VLOOKUP($V43,#REF!,19,FALSE),""))</f>
        <v>95060703500002</v>
      </c>
      <c r="AJ43" s="224">
        <f ca="1">FLOOR(IF($AD41=3,AI41,IF($AD42=3,AI42,IF($AD43=3,AI43,AI44)))/10,1)</f>
        <v>3497040350000</v>
      </c>
      <c r="AL43" s="1160"/>
      <c r="AM43" s="339" t="str">
        <f ca="1">IF(AJ43=AJ42,"","3.")</f>
        <v>3.</v>
      </c>
      <c r="AN43" s="340" t="str">
        <f ca="1">IF($AD41=3,AE41,IF($AD42=3,AE42,IF($AD43=3,AE43,AE44)))</f>
        <v>Tsjechië</v>
      </c>
      <c r="AO43" s="341">
        <f ca="1">IF($AD41=3,AF41,IF($AD42=3,AF42,IF($AD43=3,AF43,AF44)))</f>
        <v>3</v>
      </c>
      <c r="AP43" s="341">
        <f ca="1">IF($AD41=3,AG41,IF($AD42=3,AG42,IF($AD43=3,AG43,AG44)))</f>
        <v>4</v>
      </c>
      <c r="AQ43" s="341">
        <f ca="1">IF($AD41=3,AH41,IF($AD42=3,AH42,IF($AD43=3,AH43,AH44)))</f>
        <v>7</v>
      </c>
    </row>
    <row r="44" spans="1:43" ht="15" customHeight="1" x14ac:dyDescent="0.25">
      <c r="B44" s="17"/>
      <c r="C44" s="949"/>
      <c r="D44" s="1157" t="str">
        <f>IF(A45="H","",Taal04!$B$26&amp;" G")</f>
        <v/>
      </c>
      <c r="E44" s="1157"/>
      <c r="F44" s="381"/>
      <c r="G44" s="381"/>
      <c r="H44" s="381"/>
      <c r="I44" s="381"/>
      <c r="J44" s="381"/>
      <c r="K44" s="1157" t="str">
        <f>IF(A45="H","",Taal04!$B$26&amp;" H")</f>
        <v/>
      </c>
      <c r="L44" s="1157"/>
      <c r="M44" s="381"/>
      <c r="N44" s="381"/>
      <c r="O44" s="381"/>
      <c r="P44" s="381"/>
      <c r="Q44" s="60"/>
      <c r="R44" s="17"/>
      <c r="S44" s="111">
        <f>S43+1</f>
        <v>5</v>
      </c>
      <c r="T44" s="136" t="str">
        <f ca="1">VLOOKUP(V44,Voorblad!$X$67:$Z$98,2,FALSE)</f>
        <v>Tsjechië</v>
      </c>
      <c r="U44" s="53" t="str">
        <f ca="1">VLOOKUP(V44,Voorblad!$X$67:$Z$98,3,FALSE)</f>
        <v>CZ</v>
      </c>
      <c r="V44" s="295" t="str">
        <f ca="1">V40&amp;4</f>
        <v>F4</v>
      </c>
      <c r="W44" s="589" t="str">
        <f>"|"&amp;Taal02!C35&amp;"|"&amp;Taal02!D35&amp;"|"&amp;Taal02!E35&amp;"|"&amp;Taal02!F35&amp;"|"&amp;Taal02!G35&amp;"|"&amp;Taal02!H35&amp;"|"&amp;Taal02!I35&amp;"|"&amp;Taal02!J35&amp;"|"</f>
        <v>|Tsjechië|Czech Republic|Tschechische Republik|Tjeckien|||||</v>
      </c>
      <c r="X44" s="196" t="s">
        <v>224</v>
      </c>
      <c r="Y44" s="405" t="str">
        <f>IF(TYPE(1*((Y36+Y38+Y40+Y42)&amp;(Y36*Y38*Y40*Y42)))=1,(Y36+Y38+Y40+Y42)&amp;(Y36*Y38*Y40*Y42),14120)</f>
        <v>14120</v>
      </c>
      <c r="Z44" s="405" t="str">
        <f>IF(TYPE(1*((Z36+Z38+Z40+Z42)&amp;(Z36*Z38*Z40*Z42)))=1,(Z36+Z38+Z40+Z42)&amp;(Z36*Z38*Z40*Z42),14120)</f>
        <v>14120</v>
      </c>
      <c r="AA44" s="263" t="str">
        <f ca="1">RIGHT(V44,1)</f>
        <v>4</v>
      </c>
      <c r="AB44" s="265" t="str">
        <f ca="1">Groepswedstrijden!AE79</f>
        <v>Georgië</v>
      </c>
      <c r="AC44" s="64" t="e">
        <f>#REF!</f>
        <v>#REF!</v>
      </c>
      <c r="AD44" s="143">
        <f ca="1">IF($AC$7=1,VLOOKUP($V44,Groepswedstrijden!$AH$12:$BA$78,20,FALSE),IF($AC$11=1,VLOOKUP($V44,#REF!,20,FALSE),""))</f>
        <v>3</v>
      </c>
      <c r="AE44" s="186" t="str">
        <f ca="1">IF($AC$7=1,VLOOKUP($V44,Groepswedstrijden!$AH$12:$BA$78,3,FALSE),IF($AC$11=1,VLOOKUP($V44,#REF!,3,FALSE),""))</f>
        <v>Tsjechië</v>
      </c>
      <c r="AF44" s="143">
        <f ca="1">IF($AC$7=1,VLOOKUP($V44,Groepswedstrijden!$AH$12:$BA$78,9,FALSE),IF($AC$11=1,VLOOKUP($V44,#REF!,9,FALSE),""))</f>
        <v>3</v>
      </c>
      <c r="AG44" s="143">
        <f ca="1">IF($AC$7=1,VLOOKUP($V44,Groepswedstrijden!$AH$12:$BA$78,10,FALSE),IF($AC$11=1,VLOOKUP($V44,#REF!,10,FALSE),""))</f>
        <v>4</v>
      </c>
      <c r="AH44" s="143">
        <f ca="1">IF($AC$7=1,VLOOKUP($V44,Groepswedstrijden!$AH$12:$BA$78,11,FALSE),IF($AC$11=1,VLOOKUP($V44,#REF!,11,FALSE),""))</f>
        <v>7</v>
      </c>
      <c r="AI44" s="219">
        <f ca="1">IF($AC$7=1,VLOOKUP($V44,Groepswedstrijden!$AH$12:$BA$78,19,FALSE),IF($AC$11=1,VLOOKUP($V44,#REF!,19,FALSE),""))</f>
        <v>34970403500003</v>
      </c>
      <c r="AJ44" s="224">
        <f ca="1">FLOOR(IF($AD41=4,AI41,IF($AD42=4,AI42,IF($AD43=4,AI43,AI44)))/10,1)</f>
        <v>496020350000</v>
      </c>
      <c r="AL44" s="1161"/>
      <c r="AM44" s="342" t="str">
        <f ca="1">IF(AJ44=AJ43,"","4.")</f>
        <v>4.</v>
      </c>
      <c r="AN44" s="343" t="str">
        <f ca="1">IF($AD41=4,AE41,IF($AD42=4,AE42,IF($AD43=4,AE43,AE44)))</f>
        <v>Georgië</v>
      </c>
      <c r="AO44" s="344">
        <f ca="1">IF($AD41=4,AF41,IF($AD42=4,AF42,IF($AD43=4,AF43,AF44)))</f>
        <v>0</v>
      </c>
      <c r="AP44" s="344">
        <f ca="1">IF($AD41=4,AG41,IF($AD42=4,AG42,IF($AD43=4,AG43,AG44)))</f>
        <v>2</v>
      </c>
      <c r="AQ44" s="344">
        <f ca="1">IF($AD41=4,AH41,IF($AD42=4,AH42,IF($AD43=4,AH43,AH44)))</f>
        <v>6</v>
      </c>
    </row>
    <row r="45" spans="1:43" ht="15" hidden="1" customHeight="1" x14ac:dyDescent="0.25">
      <c r="A45" s="112" t="s">
        <v>169</v>
      </c>
      <c r="B45" s="17"/>
      <c r="C45" s="949"/>
      <c r="D45" s="1158"/>
      <c r="E45" s="1158"/>
      <c r="F45" s="381"/>
      <c r="G45" s="381"/>
      <c r="H45" s="381"/>
      <c r="I45" s="381"/>
      <c r="J45" s="381"/>
      <c r="K45" s="1158"/>
      <c r="L45" s="1158"/>
      <c r="M45" s="381"/>
      <c r="N45" s="381"/>
      <c r="O45" s="381"/>
      <c r="P45" s="381"/>
      <c r="Q45" s="60"/>
      <c r="R45" s="17"/>
      <c r="S45" s="359">
        <v>1</v>
      </c>
      <c r="T45" s="287"/>
      <c r="U45" s="288"/>
      <c r="V45" s="289" t="str">
        <f>IF(A45="H","G",RIGHT(D44,1))</f>
        <v>G</v>
      </c>
      <c r="W45" s="588"/>
      <c r="X45" s="487" t="str">
        <f>"Deelnamecode "&amp;V45&amp;"/"&amp;V50</f>
        <v>Deelnamecode G/H</v>
      </c>
      <c r="Y45" s="193" t="str">
        <f>IF(AND(TYPE(Y46)=1,TYPE(Y48)=1,TYPE(Y50)=1,TYPE(Y52)=1),IF(AND(Y47="GOED",Y49="GOED",Y51="GOED",Y53="GOED"),LOOKUP(Y46,S46:S49,U46:U49)&amp;"."&amp;LOOKUP(Y48,S46:S49,U46:U49)&amp;"."&amp;LOOKUP(Y50,S46:S49,U46:U49)&amp;"."&amp;LOOKUP(Y52,S46:S49,U46:U49)&amp;"|","FOUT"),"ONGELDIG")</f>
        <v>FOUT</v>
      </c>
      <c r="Z45" s="193" t="str">
        <f>IF(AND(TYPE(Z46)=1,TYPE(Z48)=1,TYPE(Z50)=1,TYPE(Z52)=1),IF(AND(Z47="GOED",Z49="GOED",Z51="GOED",Z53="GOED"),LOOKUP(Z46,S51:S54,U51:U54)&amp;"."&amp;LOOKUP(Z48,S51:S54,U51:U54)&amp;"."&amp;LOOKUP(Z50,S51:S54,U51:U54)&amp;"."&amp;LOOKUP(Z52,S51:S54,U51:U54)&amp;"|","FOUT"),"ONGELDIG")</f>
        <v>FOUT</v>
      </c>
      <c r="AA45" s="434"/>
      <c r="AB45" s="433" t="str">
        <f ca="1">UPPER(Taal04!$B$26)&amp;" "&amp;V45</f>
        <v>GROEP G</v>
      </c>
      <c r="AC45" s="480" t="str">
        <f ca="1">AB45</f>
        <v>GROEP G</v>
      </c>
      <c r="AD45" s="481"/>
      <c r="AE45" s="482" t="str">
        <f ca="1">AB45</f>
        <v>GROEP G</v>
      </c>
      <c r="AF45" s="481"/>
      <c r="AG45" s="481"/>
      <c r="AH45" s="481"/>
      <c r="AI45" s="483"/>
      <c r="AJ45" s="484"/>
      <c r="AL45" s="602" t="str">
        <f>IF(AH8="JA","","└ "&amp;SUBSTITUTE(Taal04!B62,"#",RIGHT(AL41,1)))</f>
        <v/>
      </c>
    </row>
    <row r="46" spans="1:43" ht="15" hidden="1" customHeight="1" x14ac:dyDescent="0.25">
      <c r="A46" s="576" t="str">
        <f>IF(A45="H","H","")</f>
        <v>H</v>
      </c>
      <c r="B46" s="17"/>
      <c r="C46" s="949"/>
      <c r="D46" s="335" t="s">
        <v>212</v>
      </c>
      <c r="E46" s="820"/>
      <c r="F46" s="587" t="str">
        <f>IF(Y47="LEEG","▼","")</f>
        <v/>
      </c>
      <c r="G46" s="17"/>
      <c r="H46" s="741"/>
      <c r="I46" s="741"/>
      <c r="J46" s="17"/>
      <c r="K46" s="335" t="s">
        <v>212</v>
      </c>
      <c r="L46" s="821"/>
      <c r="M46" s="587" t="str">
        <f>IF(Z47="LEEG","▼","")</f>
        <v/>
      </c>
      <c r="N46" s="17"/>
      <c r="O46" s="741"/>
      <c r="P46" s="741"/>
      <c r="Q46" s="60"/>
      <c r="R46" s="17"/>
      <c r="S46" s="359">
        <f>S45+1</f>
        <v>2</v>
      </c>
      <c r="T46" s="291" t="str">
        <f ca="1">VLOOKUP(V46,Voorblad!$X$67:$Z$98,2,FALSE)</f>
        <v>ZZZ_land_G1</v>
      </c>
      <c r="U46" s="235" t="str">
        <f>VLOOKUP(V46,Voorblad!$X$67:$Z$98,3,FALSE)</f>
        <v>ZA</v>
      </c>
      <c r="V46" s="292" t="str">
        <f>V45&amp;1</f>
        <v>G1</v>
      </c>
      <c r="W46" s="589" t="str">
        <f>"|"&amp;Taal02!C37&amp;"|"&amp;Taal02!D37&amp;"|"&amp;Taal02!E37&amp;"|"&amp;Taal02!F37&amp;"|"&amp;Taal02!G37&amp;"|"&amp;Taal02!H37&amp;"|"&amp;Taal02!I37&amp;"|"&amp;Taal02!J37&amp;"|"</f>
        <v>|ZZZ_land_G1|ZZZ_land_G1|ZZZ_land_G1|ZZZ_land_G1|||||</v>
      </c>
      <c r="X46" s="487" t="s">
        <v>216</v>
      </c>
      <c r="Y46" s="144">
        <f>IF(ISBLANK(E46),1,IF(SUBSTITUTE(W46,E46,"#")&lt;&gt;W46,2,IF(SUBSTITUTE(W47,E46,"#")&lt;&gt;W47,3,IF(SUBSTITUTE(W48,E46,"#")&lt;&gt;W48,4,IF(SUBSTITUTE(W49,E46,"#")&lt;&gt;W49,5,6)))))</f>
        <v>1</v>
      </c>
      <c r="Z46" s="144">
        <f>IF(ISBLANK(L46),1,IF(SUBSTITUTE(W51,L46,"#")&lt;&gt;W51,2,IF(SUBSTITUTE(W52,L46,"#")&lt;&gt;W52,3,IF(SUBSTITUTE(W53,L46,"#")&lt;&gt;W53,4,IF(SUBSTITUTE(W54,L46,"#")&lt;&gt;W54,5,6)))))</f>
        <v>1</v>
      </c>
      <c r="AA46" s="480" t="str">
        <f>RIGHT(V46,1)</f>
        <v>1</v>
      </c>
      <c r="AB46" s="435" t="str">
        <f>Groepswedstrijden!AF76</f>
        <v/>
      </c>
      <c r="AC46" s="434" t="e">
        <f>#REF!</f>
        <v>#REF!</v>
      </c>
      <c r="AD46" s="481">
        <f ca="1">IF($AC$7=1,VLOOKUP($V46,Groepswedstrijden!$AH$12:$BA$78,20,FALSE),IF($AC$11=1,VLOOKUP($V46,#REF!,20,FALSE),""))</f>
        <v>4</v>
      </c>
      <c r="AE46" s="485" t="str">
        <f ca="1">IF($AC$7=1,VLOOKUP($V46,Groepswedstrijden!$AH$12:$BA$78,3,FALSE),IF($AC$11=1,VLOOKUP($V46,#REF!,3,FALSE),""))</f>
        <v>ZZZ_land_G1</v>
      </c>
      <c r="AF46" s="481">
        <f ca="1">IF($AC$7=1,VLOOKUP($V46,Groepswedstrijden!$AH$12:$BA$78,9,FALSE),IF($AC$11=1,VLOOKUP($V46,#REF!,9,FALSE),""))</f>
        <v>0</v>
      </c>
      <c r="AG46" s="481">
        <f ca="1">IF($AC$7=1,VLOOKUP($V46,Groepswedstrijden!$AH$12:$BA$78,10,FALSE),IF($AC$11=1,VLOOKUP($V46,#REF!,10,FALSE),""))</f>
        <v>0</v>
      </c>
      <c r="AH46" s="481">
        <f ca="1">IF($AC$7=1,VLOOKUP($V46,Groepswedstrijden!$AH$12:$BA$78,11,FALSE),IF($AC$11=1,VLOOKUP($V46,#REF!,11,FALSE),""))</f>
        <v>0</v>
      </c>
      <c r="AI46" s="483">
        <f ca="1">IF($AC$7=1,VLOOKUP($V46,Groepswedstrijden!$AH$12:$BA$78,19,FALSE),IF($AC$11=1,VLOOKUP($V46,#REF!,19,FALSE),""))</f>
        <v>5000003500001</v>
      </c>
      <c r="AJ46" s="486">
        <f ca="1">FLOOR(IF($AD46=1,AI46,IF($AD47=1,AI47,IF($AD48=1,AI48,AI49)))/10,1)</f>
        <v>500000350000</v>
      </c>
      <c r="AL46" s="1159" t="str">
        <f ca="1">AE45</f>
        <v>GROEP G</v>
      </c>
      <c r="AM46" s="336" t="s">
        <v>67</v>
      </c>
      <c r="AN46" s="337" t="str">
        <f ca="1">IF($AD46=1,AE46,IF($AD47=1,AE47,IF($AD48=1,AE48,AE49)))</f>
        <v>ZZZ_land_G4</v>
      </c>
      <c r="AO46" s="338">
        <f ca="1">IF($AD46=1,AF46,IF($AD47=1,AF47,IF($AD48=1,AF48,AF49)))</f>
        <v>0</v>
      </c>
      <c r="AP46" s="338">
        <f ca="1">IF($AD46=1,AG46,IF($AD47=1,AG47,IF($AD48=1,AG48,AG49)))</f>
        <v>0</v>
      </c>
      <c r="AQ46" s="338">
        <f ca="1">IF($AD46=1,AH46,IF($AD47=1,AH47,IF($AD48=1,AH48,AH49)))</f>
        <v>0</v>
      </c>
    </row>
    <row r="47" spans="1:43" ht="20.100000000000001" hidden="1" customHeight="1" x14ac:dyDescent="0.25">
      <c r="A47" s="576" t="str">
        <f t="shared" ref="A47:A54" si="0">IF(A46="H","H","")</f>
        <v>H</v>
      </c>
      <c r="B47" s="17"/>
      <c r="C47" s="949"/>
      <c r="D47" s="1153" t="str">
        <f ca="1">IF($S$12=1,IF($AC$7=1,AB46,IF($AC$11=1,AC46,"")),IF(AND($S$12=2,OR($Y$47="LEEG",$Y$47="ONGELDIG")),IF($AC$7=1,AB46,IF($AC$11=1,AC46,"")),""))</f>
        <v/>
      </c>
      <c r="E47" s="1153"/>
      <c r="F47" s="1153"/>
      <c r="G47" s="1153"/>
      <c r="H47" s="1153"/>
      <c r="I47" s="1153"/>
      <c r="J47" s="17"/>
      <c r="K47" s="1153" t="str">
        <f ca="1">IF($S$12=1,IF($AC$7=1,AB51,IF($AC$11=1,AC51,"")),IF(AND($S$12=2,OR($Z$47="LEEG",$Z$47="ONGELDIG")),IF($AC$7=1,AB51,IF($AC$11=1,AC51,"")),""))</f>
        <v/>
      </c>
      <c r="L47" s="1153"/>
      <c r="M47" s="1153"/>
      <c r="N47" s="1153"/>
      <c r="O47" s="1153"/>
      <c r="P47" s="1153"/>
      <c r="Q47" s="60"/>
      <c r="R47" s="17"/>
      <c r="S47" s="359">
        <f>S46+1</f>
        <v>3</v>
      </c>
      <c r="T47" s="291" t="str">
        <f ca="1">VLOOKUP(V47,Voorblad!$X$67:$Z$98,2,FALSE)</f>
        <v>ZZZ_land_G2</v>
      </c>
      <c r="U47" s="235" t="str">
        <f>VLOOKUP(V47,Voorblad!$X$67:$Z$98,3,FALSE)</f>
        <v>ZB</v>
      </c>
      <c r="V47" s="292" t="str">
        <f>V45&amp;2</f>
        <v>G2</v>
      </c>
      <c r="W47" s="589" t="str">
        <f>"|"&amp;Taal02!C38&amp;"|"&amp;Taal02!D38&amp;"|"&amp;Taal02!E38&amp;"|"&amp;Taal02!F38&amp;"|"&amp;Taal02!G38&amp;"|"&amp;Taal02!H38&amp;"|"&amp;Taal02!I38&amp;"|"&amp;Taal02!J38&amp;"|"</f>
        <v>|ZZZ_land_G2|ZZZ_land_G2|ZZZ_land_G2|ZZZ_land_G2|||||</v>
      </c>
      <c r="X47" s="487" t="s">
        <v>217</v>
      </c>
      <c r="Y47" s="144" t="str">
        <f>IF($A46="H","",IF(Y46=1, "LEEG",IF(AND(Y46&gt;1,Y46&lt;6,TYPE(Y46+Y48+Y50+Y52)=1),IF(OR(Y46=Y48,Y46=Y50,Y46=Y52),"DUBBEL","GOED"),"ONGELDIG")))</f>
        <v/>
      </c>
      <c r="Z47" s="144" t="str">
        <f>IF($A46="H","",IF(Z46=1, "LEEG",IF(AND(Z46&gt;1,Z46&lt;6,TYPE(Z46+Z48+Z50+Z52)=1),IF(OR(Z46=Z48,Z46=Z50,Z46=Z52),"DUBBEL","GOED"),"ONGELDIG")))</f>
        <v/>
      </c>
      <c r="AA47" s="480" t="str">
        <f>RIGHT(V47,1)</f>
        <v>2</v>
      </c>
      <c r="AB47" s="435" t="str">
        <f>Groepswedstrijden!AF77</f>
        <v/>
      </c>
      <c r="AC47" s="434" t="e">
        <f>#REF!</f>
        <v>#REF!</v>
      </c>
      <c r="AD47" s="481">
        <f ca="1">IF($AC$7=1,VLOOKUP($V47,Groepswedstrijden!$AH$12:$BA$78,20,FALSE),IF($AC$11=1,VLOOKUP($V47,#REF!,20,FALSE),""))</f>
        <v>3</v>
      </c>
      <c r="AE47" s="485" t="str">
        <f ca="1">IF($AC$7=1,VLOOKUP($V47,Groepswedstrijden!$AH$12:$BA$78,3,FALSE),IF($AC$11=1,VLOOKUP($V47,#REF!,3,FALSE),""))</f>
        <v>ZZZ_land_G2</v>
      </c>
      <c r="AF47" s="481">
        <f ca="1">IF($AC$7=1,VLOOKUP($V47,Groepswedstrijden!$AH$12:$BA$78,9,FALSE),IF($AC$11=1,VLOOKUP($V47,#REF!,9,FALSE),""))</f>
        <v>0</v>
      </c>
      <c r="AG47" s="481">
        <f ca="1">IF($AC$7=1,VLOOKUP($V47,Groepswedstrijden!$AH$12:$BA$78,10,FALSE),IF($AC$11=1,VLOOKUP($V47,#REF!,10,FALSE),""))</f>
        <v>0</v>
      </c>
      <c r="AH47" s="481">
        <f ca="1">IF($AC$7=1,VLOOKUP($V47,Groepswedstrijden!$AH$12:$BA$78,11,FALSE),IF($AC$11=1,VLOOKUP($V47,#REF!,11,FALSE),""))</f>
        <v>0</v>
      </c>
      <c r="AI47" s="483">
        <f ca="1">IF($AC$7=1,VLOOKUP($V47,Groepswedstrijden!$AH$12:$BA$78,19,FALSE),IF($AC$11=1,VLOOKUP($V47,#REF!,19,FALSE),""))</f>
        <v>5000003500002</v>
      </c>
      <c r="AJ47" s="486">
        <f ca="1">FLOOR(IF($AD46=2,AI46,IF($AD47=2,AI47,IF($AD48=2,AI48,AI49)))/10,1)</f>
        <v>500000350000</v>
      </c>
      <c r="AL47" s="1160"/>
      <c r="AM47" s="339" t="str">
        <f ca="1">IF(AJ47=AJ46,"","2.")</f>
        <v/>
      </c>
      <c r="AN47" s="340" t="str">
        <f ca="1">IF($AD46=2,AE46,IF($AD47=2,AE47,IF($AD48=2,AE48,AE49)))</f>
        <v>ZZZ_land_G3</v>
      </c>
      <c r="AO47" s="341">
        <f ca="1">IF($AD46=2,AF46,IF($AD47=2,AF47,IF($AD48=2,AF48,AF49)))</f>
        <v>0</v>
      </c>
      <c r="AP47" s="341">
        <f ca="1">IF($AD46=2,AG46,IF($AD47=2,AG47,IF($AD48=2,AG48,AG49)))</f>
        <v>0</v>
      </c>
      <c r="AQ47" s="341">
        <f ca="1">IF($AD46=2,AH46,IF($AD47=2,AH47,IF($AD48=2,AH48,AH49)))</f>
        <v>0</v>
      </c>
    </row>
    <row r="48" spans="1:43" ht="15" hidden="1" customHeight="1" x14ac:dyDescent="0.25">
      <c r="A48" s="576" t="str">
        <f t="shared" si="0"/>
        <v>H</v>
      </c>
      <c r="B48" s="17"/>
      <c r="C48" s="949"/>
      <c r="D48" s="335" t="s">
        <v>213</v>
      </c>
      <c r="E48" s="820"/>
      <c r="F48" s="587" t="str">
        <f>IF(Y49="LEEG","▼","")</f>
        <v/>
      </c>
      <c r="G48" s="17"/>
      <c r="H48" s="17"/>
      <c r="I48" s="17"/>
      <c r="J48" s="17"/>
      <c r="K48" s="335" t="s">
        <v>213</v>
      </c>
      <c r="L48" s="821"/>
      <c r="M48" s="587" t="str">
        <f>IF(Z49="LEEG","▼","")</f>
        <v/>
      </c>
      <c r="N48" s="17"/>
      <c r="O48" s="17"/>
      <c r="P48" s="17"/>
      <c r="Q48" s="60"/>
      <c r="R48" s="17"/>
      <c r="S48" s="359">
        <f>S47+1</f>
        <v>4</v>
      </c>
      <c r="T48" s="291" t="str">
        <f ca="1">VLOOKUP(V48,Voorblad!$X$67:$Z$98,2,FALSE)</f>
        <v>ZZZ_land_G3</v>
      </c>
      <c r="U48" s="235" t="str">
        <f>VLOOKUP(V48,Voorblad!$X$67:$Z$98,3,FALSE)</f>
        <v>ZC</v>
      </c>
      <c r="V48" s="292" t="str">
        <f>V45&amp;3</f>
        <v>G3</v>
      </c>
      <c r="W48" s="589" t="str">
        <f>"|"&amp;Taal02!C39&amp;"|"&amp;Taal02!D39&amp;"|"&amp;Taal02!E39&amp;"|"&amp;Taal02!F39&amp;"|"&amp;Taal02!G39&amp;"|"&amp;Taal02!H39&amp;"|"&amp;Taal02!I39&amp;"|"&amp;Taal02!J39&amp;"|"</f>
        <v>|ZZZ_land_G3|ZZZ_land_G3|ZZZ_land_G3|ZZZ_land_G3|||||</v>
      </c>
      <c r="X48" s="487" t="s">
        <v>218</v>
      </c>
      <c r="Y48" s="144">
        <f>IF(ISBLANK(E48),1,IF(SUBSTITUTE(W46,E48,"#")&lt;&gt;W46,2,IF(SUBSTITUTE(W47,E48,"#")&lt;&gt;W47,3,IF(SUBSTITUTE(W48,E48,"#")&lt;&gt;W48,4,IF(SUBSTITUTE(W49,E48,"#")&lt;&gt;W49,5,6)))))</f>
        <v>1</v>
      </c>
      <c r="Z48" s="144">
        <f>IF(ISBLANK(L48),1,IF(SUBSTITUTE(W51,L48,"#")&lt;&gt;W51,2,IF(SUBSTITUTE(W52,L48,"#")&lt;&gt;W52,3,IF(SUBSTITUTE(W53,L48,"#")&lt;&gt;W53,4,IF(SUBSTITUTE(W54,L48,"#")&lt;&gt;W54,5,6)))))</f>
        <v>1</v>
      </c>
      <c r="AA48" s="480" t="str">
        <f>RIGHT(V48,1)</f>
        <v>3</v>
      </c>
      <c r="AB48" s="435" t="str">
        <f>Groepswedstrijden!AF78</f>
        <v/>
      </c>
      <c r="AC48" s="434" t="e">
        <f>#REF!</f>
        <v>#REF!</v>
      </c>
      <c r="AD48" s="481">
        <f ca="1">IF($AC$7=1,VLOOKUP($V48,Groepswedstrijden!$AH$12:$BA$78,20,FALSE),IF($AC$11=1,VLOOKUP($V48,#REF!,20,FALSE),""))</f>
        <v>2</v>
      </c>
      <c r="AE48" s="485" t="str">
        <f ca="1">IF($AC$7=1,VLOOKUP($V48,Groepswedstrijden!$AH$12:$BA$78,3,FALSE),IF($AC$11=1,VLOOKUP($V48,#REF!,3,FALSE),""))</f>
        <v>ZZZ_land_G3</v>
      </c>
      <c r="AF48" s="481">
        <f ca="1">IF($AC$7=1,VLOOKUP($V48,Groepswedstrijden!$AH$12:$BA$78,9,FALSE),IF($AC$11=1,VLOOKUP($V48,#REF!,9,FALSE),""))</f>
        <v>0</v>
      </c>
      <c r="AG48" s="481">
        <f ca="1">IF($AC$7=1,VLOOKUP($V48,Groepswedstrijden!$AH$12:$BA$78,10,FALSE),IF($AC$11=1,VLOOKUP($V48,#REF!,10,FALSE),""))</f>
        <v>0</v>
      </c>
      <c r="AH48" s="481">
        <f ca="1">IF($AC$7=1,VLOOKUP($V48,Groepswedstrijden!$AH$12:$BA$78,11,FALSE),IF($AC$11=1,VLOOKUP($V48,#REF!,11,FALSE),""))</f>
        <v>0</v>
      </c>
      <c r="AI48" s="483">
        <f ca="1">IF($AC$7=1,VLOOKUP($V48,Groepswedstrijden!$AH$12:$BA$78,19,FALSE),IF($AC$11=1,VLOOKUP($V48,#REF!,19,FALSE),""))</f>
        <v>5000003500003</v>
      </c>
      <c r="AJ48" s="486">
        <f ca="1">FLOOR(IF($AD46=3,AI46,IF($AD47=3,AI47,IF($AD48=3,AI48,AI49)))/10,1)</f>
        <v>500000350000</v>
      </c>
      <c r="AL48" s="1160"/>
      <c r="AM48" s="339" t="str">
        <f ca="1">IF(AJ48=AJ47,"","3.")</f>
        <v/>
      </c>
      <c r="AN48" s="340" t="str">
        <f ca="1">IF($AD46=3,AE46,IF($AD47=3,AE47,IF($AD48=3,AE48,AE49)))</f>
        <v>ZZZ_land_G2</v>
      </c>
      <c r="AO48" s="341">
        <f ca="1">IF($AD46=3,AF46,IF($AD47=3,AF47,IF($AD48=3,AF48,AF49)))</f>
        <v>0</v>
      </c>
      <c r="AP48" s="341">
        <f ca="1">IF($AD46=3,AG46,IF($AD47=3,AG47,IF($AD48=3,AG48,AG49)))</f>
        <v>0</v>
      </c>
      <c r="AQ48" s="341">
        <f ca="1">IF($AD46=3,AH46,IF($AD47=3,AH47,IF($AD48=3,AH48,AH49)))</f>
        <v>0</v>
      </c>
    </row>
    <row r="49" spans="1:43" ht="20.100000000000001" hidden="1" customHeight="1" x14ac:dyDescent="0.25">
      <c r="A49" s="576" t="str">
        <f t="shared" si="0"/>
        <v>H</v>
      </c>
      <c r="B49" s="17"/>
      <c r="C49" s="949"/>
      <c r="D49" s="1153" t="str">
        <f ca="1">IF($S$12=1,IF($AC$7=1,AB47,IF($AC$11=1,AC47,"")),IF(AND($S$12=2,OR($Y$49="LEEG",$Y$49="ONGELDIG")),IF($AC$7=1,AB47,IF($AC$11=1,AC47,"")),""))</f>
        <v/>
      </c>
      <c r="E49" s="1153"/>
      <c r="F49" s="1153"/>
      <c r="G49" s="1153"/>
      <c r="H49" s="1153"/>
      <c r="I49" s="1153"/>
      <c r="J49" s="17"/>
      <c r="K49" s="1153" t="str">
        <f ca="1">IF($S$12=1,IF($AC$7=1,AB52,IF($AC$11=1,AC52,"")),IF(AND($S$12=2,OR($Z$49="LEEG",$Z$49="ONGELDIG")),IF($AC$7=1,AB52,IF($AC$11=1,AC52,"")),""))</f>
        <v/>
      </c>
      <c r="L49" s="1153"/>
      <c r="M49" s="1153"/>
      <c r="N49" s="1153"/>
      <c r="O49" s="1153"/>
      <c r="P49" s="1153"/>
      <c r="Q49" s="60"/>
      <c r="R49" s="17"/>
      <c r="S49" s="359">
        <f>S48+1</f>
        <v>5</v>
      </c>
      <c r="T49" s="293" t="str">
        <f ca="1">VLOOKUP(V49,Voorblad!$X$67:$Z$98,2,FALSE)</f>
        <v>ZZZ_land_G4</v>
      </c>
      <c r="U49" s="294" t="str">
        <f>VLOOKUP(V49,Voorblad!$X$67:$Z$98,3,FALSE)</f>
        <v>ZD</v>
      </c>
      <c r="V49" s="295" t="str">
        <f>V45&amp;4</f>
        <v>G4</v>
      </c>
      <c r="W49" s="589" t="str">
        <f>"|"&amp;Taal02!C40&amp;"|"&amp;Taal02!D40&amp;"|"&amp;Taal02!E40&amp;"|"&amp;Taal02!F40&amp;"|"&amp;Taal02!G40&amp;"|"&amp;Taal02!H40&amp;"|"&amp;Taal02!I40&amp;"|"&amp;Taal02!J40&amp;"|"</f>
        <v>|ZZZ_land_G4|ZZZ_land_G4|ZZZ_land_G4|ZZZ_land_G4|||||</v>
      </c>
      <c r="X49" s="487" t="s">
        <v>219</v>
      </c>
      <c r="Y49" s="144" t="str">
        <f>IF($A48="H","",IF(Y48=1,"LEEG",IF(AND(Y48&gt;1,Y48&lt;6,TYPE(Y46+Y48+Y50+Y52)=1),IF(OR(Y48=Y46,Y48=Y50,Y48=Y52),"DUBBEL","GOED"),"ONGELDIG")))</f>
        <v/>
      </c>
      <c r="Z49" s="144" t="str">
        <f>IF($A48="H","",IF(Z48=1, "LEEG",IF(AND(Z48&gt;1,Z48&lt;6,TYPE(Z46+Z48+Z50+Z52)=1),IF(OR(Z48=Z46,Z48=Z50,Z48=Z52),"DUBBEL","GOED"),"ONGELDIG")))</f>
        <v/>
      </c>
      <c r="AA49" s="480" t="str">
        <f>RIGHT(V49,1)</f>
        <v>4</v>
      </c>
      <c r="AB49" s="435" t="str">
        <f>Groepswedstrijden!AF79</f>
        <v/>
      </c>
      <c r="AC49" s="434" t="e">
        <f>#REF!</f>
        <v>#REF!</v>
      </c>
      <c r="AD49" s="481">
        <f ca="1">IF($AC$7=1,VLOOKUP($V49,Groepswedstrijden!$AH$12:$BA$78,20,FALSE),IF($AC$11=1,VLOOKUP($V49,#REF!,20,FALSE),""))</f>
        <v>1</v>
      </c>
      <c r="AE49" s="485" t="str">
        <f ca="1">IF($AC$7=1,VLOOKUP($V49,Groepswedstrijden!$AH$12:$BA$78,3,FALSE),IF($AC$11=1,VLOOKUP($V49,#REF!,3,FALSE),""))</f>
        <v>ZZZ_land_G4</v>
      </c>
      <c r="AF49" s="481">
        <f ca="1">IF($AC$7=1,VLOOKUP($V49,Groepswedstrijden!$AH$12:$BA$78,9,FALSE),IF($AC$11=1,VLOOKUP($V49,#REF!,9,FALSE),""))</f>
        <v>0</v>
      </c>
      <c r="AG49" s="481">
        <f ca="1">IF($AC$7=1,VLOOKUP($V49,Groepswedstrijden!$AH$12:$BA$78,10,FALSE),IF($AC$11=1,VLOOKUP($V49,#REF!,10,FALSE),""))</f>
        <v>0</v>
      </c>
      <c r="AH49" s="481">
        <f ca="1">IF($AC$7=1,VLOOKUP($V49,Groepswedstrijden!$AH$12:$BA$78,11,FALSE),IF($AC$11=1,VLOOKUP($V49,#REF!,11,FALSE),""))</f>
        <v>0</v>
      </c>
      <c r="AI49" s="483">
        <f ca="1">IF($AC$7=1,VLOOKUP($V49,Groepswedstrijden!$AH$12:$BA$78,19,FALSE),IF($AC$11=1,VLOOKUP($V49,#REF!,19,FALSE),""))</f>
        <v>5000003500004</v>
      </c>
      <c r="AJ49" s="486">
        <f ca="1">FLOOR(IF($AD46=4,AI46,IF($AD47=4,AI47,IF($AD48=4,AI48,AI49)))/10,1)</f>
        <v>500000350000</v>
      </c>
      <c r="AL49" s="1161"/>
      <c r="AM49" s="342" t="str">
        <f ca="1">IF(AJ49=AJ48,"","4.")</f>
        <v/>
      </c>
      <c r="AN49" s="343" t="str">
        <f ca="1">IF($AD46=4,AE46,IF($AD47=4,AE47,IF($AD48=4,AE48,AE49)))</f>
        <v>ZZZ_land_G1</v>
      </c>
      <c r="AO49" s="344">
        <f ca="1">IF($AD46=4,AF46,IF($AD47=4,AF47,IF($AD48=4,AF48,AF49)))</f>
        <v>0</v>
      </c>
      <c r="AP49" s="344">
        <f ca="1">IF($AD46=4,AG46,IF($AD47=4,AG47,IF($AD48=4,AG48,AG49)))</f>
        <v>0</v>
      </c>
      <c r="AQ49" s="344">
        <f ca="1">IF($AD46=4,AH46,IF($AD47=4,AH47,IF($AD48=4,AH48,AH49)))</f>
        <v>0</v>
      </c>
    </row>
    <row r="50" spans="1:43" ht="15" hidden="1" customHeight="1" x14ac:dyDescent="0.25">
      <c r="A50" s="576" t="str">
        <f t="shared" si="0"/>
        <v>H</v>
      </c>
      <c r="B50" s="17"/>
      <c r="C50" s="949"/>
      <c r="D50" s="335" t="s">
        <v>214</v>
      </c>
      <c r="E50" s="820"/>
      <c r="F50" s="587" t="str">
        <f>IF(Y51="LEEG","▼","")</f>
        <v/>
      </c>
      <c r="G50" s="17"/>
      <c r="H50" s="17"/>
      <c r="I50" s="17"/>
      <c r="J50" s="17"/>
      <c r="K50" s="335" t="s">
        <v>214</v>
      </c>
      <c r="L50" s="821"/>
      <c r="M50" s="587" t="str">
        <f>IF(Z51="LEEG","▼","")</f>
        <v/>
      </c>
      <c r="N50" s="17"/>
      <c r="O50" s="17"/>
      <c r="P50" s="17"/>
      <c r="Q50" s="60"/>
      <c r="R50" s="17"/>
      <c r="S50" s="359">
        <v>1</v>
      </c>
      <c r="T50" s="287"/>
      <c r="U50" s="290"/>
      <c r="V50" s="289" t="str">
        <f>IF(A45="H","H",RIGHT(K44,1))</f>
        <v>H</v>
      </c>
      <c r="W50" s="588"/>
      <c r="X50" s="487" t="s">
        <v>220</v>
      </c>
      <c r="Y50" s="144">
        <f>IF(ISBLANK(E50),1,IF(SUBSTITUTE(W46,E50,"#")&lt;&gt;W46,2,IF(SUBSTITUTE(W47,E50,"#")&lt;&gt;W47,3,IF(SUBSTITUTE(W48,E50,"#")&lt;&gt;W48,4,IF(SUBSTITUTE(W49,E50,"#")&lt;&gt;W49,5,6)))))</f>
        <v>1</v>
      </c>
      <c r="Z50" s="144">
        <f>IF(ISBLANK(L50),1,IF(SUBSTITUTE(W51,L50,"#")&lt;&gt;W51,2,IF(SUBSTITUTE(W52,L50,"#")&lt;&gt;W52,3,IF(SUBSTITUTE(W53,L50,"#")&lt;&gt;W53,4,IF(SUBSTITUTE(W54,L50,"#")&lt;&gt;W54,5,6)))))</f>
        <v>1</v>
      </c>
      <c r="AA50" s="434"/>
      <c r="AB50" s="433" t="str">
        <f ca="1">UPPER(Taal04!$B$26)&amp;" "&amp;V50</f>
        <v>GROEP H</v>
      </c>
      <c r="AC50" s="480" t="str">
        <f ca="1">AB50</f>
        <v>GROEP H</v>
      </c>
      <c r="AD50" s="481"/>
      <c r="AE50" s="482" t="str">
        <f ca="1">AB50</f>
        <v>GROEP H</v>
      </c>
      <c r="AF50" s="481"/>
      <c r="AG50" s="481"/>
      <c r="AH50" s="481"/>
      <c r="AI50" s="483"/>
      <c r="AJ50" s="484"/>
      <c r="AL50" s="602" t="str">
        <f ca="1">IF(AF9="JA","","└ "&amp;SUBSTITUTE(Taal04!B62,"#",RIGHT(AL46,1)))</f>
        <v>└ LET OP: niet alle wedstrijden in groep G zijn ingevuld.</v>
      </c>
      <c r="AM50" s="601"/>
      <c r="AP50" s="603"/>
      <c r="AQ50" s="603"/>
    </row>
    <row r="51" spans="1:43" ht="20.100000000000001" hidden="1" customHeight="1" x14ac:dyDescent="0.25">
      <c r="A51" s="576" t="str">
        <f t="shared" si="0"/>
        <v>H</v>
      </c>
      <c r="B51" s="17"/>
      <c r="C51" s="949"/>
      <c r="D51" s="1153" t="str">
        <f ca="1">IF($S$12=1,IF($AC$7=1,AB48,IF($AC$11=1,AC48,"")),IF(AND($S$12=2,OR($Y$51="LEEG",$Y$51="ONGELDIG")),IF($AC$7=1,AB48,IF($AC$11=1,AC48,"")),""))</f>
        <v/>
      </c>
      <c r="E51" s="1153"/>
      <c r="F51" s="1153"/>
      <c r="G51" s="1153"/>
      <c r="H51" s="1153"/>
      <c r="I51" s="1153"/>
      <c r="J51" s="17"/>
      <c r="K51" s="1153" t="str">
        <f ca="1">IF($S$12=1,IF($AC$7=1,AB53,IF($AC$11=1,AC53,"")),IF(AND($S$12=2,OR($Z$51="LEEG",$Z$51="ONGELDIG")),IF($AC$7=1,AB53,IF($AC$11=1,AC53,"")),""))</f>
        <v/>
      </c>
      <c r="L51" s="1153"/>
      <c r="M51" s="1153"/>
      <c r="N51" s="1153"/>
      <c r="O51" s="1153"/>
      <c r="P51" s="1153"/>
      <c r="Q51" s="60"/>
      <c r="R51" s="17"/>
      <c r="S51" s="359">
        <f>S50+1</f>
        <v>2</v>
      </c>
      <c r="T51" s="291" t="str">
        <f ca="1">VLOOKUP(V51,Voorblad!$X$67:$Z$98,2,FALSE)</f>
        <v>ZZZ_land_H1</v>
      </c>
      <c r="U51" s="235" t="str">
        <f>VLOOKUP(V51,Voorblad!$X$67:$Z$98,3,FALSE)</f>
        <v>ZE</v>
      </c>
      <c r="V51" s="292" t="str">
        <f>V50&amp;1</f>
        <v>H1</v>
      </c>
      <c r="W51" s="589" t="str">
        <f>"|"&amp;Taal02!C42&amp;"|"&amp;Taal02!D42&amp;"|"&amp;Taal02!E42&amp;"|"&amp;Taal02!F42&amp;"|"&amp;Taal02!G42&amp;"|"&amp;Taal02!H42&amp;"|"&amp;Taal02!I42&amp;"|"&amp;Taal02!J42&amp;"|"</f>
        <v>|ZZZ_land_H1|ZZZ_land_H1|ZZZ_land_H1|ZZZ_land_H1|||||</v>
      </c>
      <c r="X51" s="487" t="s">
        <v>221</v>
      </c>
      <c r="Y51" s="144" t="str">
        <f>IF($A50="H","",IF(Y50=1,"LEEG",IF(AND(Y50&gt;1,Y50&lt;6,TYPE(Y46+Y48+Y50+Y52)=1),IF(OR(Y50=Y46,Y50=Y48,Y50=Y52),"DUBBEL","GOED"),"ONGELDIG")))</f>
        <v/>
      </c>
      <c r="Z51" s="144" t="str">
        <f>IF($A50="H","",IF(Z50=1, "LEEG",IF(AND(Z50&gt;1,Z50&lt;6,TYPE(Z46+Z48+Z50+Z52)=1),IF(OR(Z50=Z46,Z50=Z48,Z50=Z52),"DUBBEL","GOED"),"ONGELDIG")))</f>
        <v/>
      </c>
      <c r="AA51" s="480" t="str">
        <f>RIGHT(V51,1)</f>
        <v>1</v>
      </c>
      <c r="AB51" s="435" t="str">
        <f ca="1">Groepswedstrijden!AG76</f>
        <v/>
      </c>
      <c r="AC51" s="434" t="e">
        <f>#REF!</f>
        <v>#REF!</v>
      </c>
      <c r="AD51" s="481">
        <f ca="1">IF($AC$7=1,VLOOKUP($V51,Groepswedstrijden!$AH$12:$BA$78,20,FALSE),IF($AC$11=1,VLOOKUP($V51,#REF!,20,FALSE),""))</f>
        <v>4</v>
      </c>
      <c r="AE51" s="485" t="str">
        <f ca="1">IF($AC$7=1,VLOOKUP($V51,Groepswedstrijden!$AH$12:$BA$78,3,FALSE),IF($AC$11=1,VLOOKUP($V51,#REF!,3,FALSE),""))</f>
        <v>ZZZ_land_H1</v>
      </c>
      <c r="AF51" s="481">
        <f ca="1">IF($AC$7=1,VLOOKUP($V51,Groepswedstrijden!$AH$12:$BA$78,9,FALSE),IF($AC$11=1,VLOOKUP($V51,#REF!,9,FALSE),""))</f>
        <v>0</v>
      </c>
      <c r="AG51" s="481">
        <f ca="1">IF($AC$7=1,VLOOKUP($V51,Groepswedstrijden!$AH$12:$BA$78,10,FALSE),IF($AC$11=1,VLOOKUP($V51,#REF!,10,FALSE),""))</f>
        <v>0</v>
      </c>
      <c r="AH51" s="481">
        <f ca="1">IF($AC$7=1,VLOOKUP($V51,Groepswedstrijden!$AH$12:$BA$78,11,FALSE),IF($AC$11=1,VLOOKUP($V51,#REF!,11,FALSE),""))</f>
        <v>0</v>
      </c>
      <c r="AI51" s="483">
        <f ca="1">IF($AC$7=1,VLOOKUP($V51,Groepswedstrijden!$AH$12:$BA$78,19,FALSE),IF($AC$11=1,VLOOKUP($V51,#REF!,19,FALSE),""))</f>
        <v>5000003500001</v>
      </c>
      <c r="AJ51" s="486">
        <f ca="1">FLOOR(IF($AD51=1,AI51,IF($AD52=1,AI52,IF($AD53=1,AI53,AI54)))/10,1)</f>
        <v>500000350000</v>
      </c>
      <c r="AL51" s="1159" t="str">
        <f ca="1">AE50</f>
        <v>GROEP H</v>
      </c>
      <c r="AM51" s="336" t="s">
        <v>67</v>
      </c>
      <c r="AN51" s="337" t="str">
        <f ca="1">IF($AD51=1,AE51,IF($AD52=1,AE52,IF($AD53=1,AE53,AE54)))</f>
        <v>ZZZ_land_H4</v>
      </c>
      <c r="AO51" s="338">
        <f ca="1">IF($AD51=1,AF51,IF($AD52=1,AF52,IF($AD53=1,AF53,AF54)))</f>
        <v>0</v>
      </c>
      <c r="AP51" s="338">
        <f ca="1">IF($AD51=1,AG51,IF($AD52=1,AG52,IF($AD53=1,AG53,AG54)))</f>
        <v>0</v>
      </c>
      <c r="AQ51" s="338">
        <f ca="1">IF($AD51=1,AH51,IF($AD52=1,AH52,IF($AD53=1,AH53,AH54)))</f>
        <v>0</v>
      </c>
    </row>
    <row r="52" spans="1:43" ht="15" hidden="1" customHeight="1" x14ac:dyDescent="0.25">
      <c r="A52" s="576" t="str">
        <f t="shared" si="0"/>
        <v>H</v>
      </c>
      <c r="B52" s="17"/>
      <c r="C52" s="949"/>
      <c r="D52" s="335" t="s">
        <v>215</v>
      </c>
      <c r="E52" s="820"/>
      <c r="F52" s="587" t="str">
        <f>IF(Y53="LEEG","▼","")</f>
        <v/>
      </c>
      <c r="G52" s="17"/>
      <c r="H52" s="17"/>
      <c r="I52" s="17"/>
      <c r="J52" s="17"/>
      <c r="K52" s="335" t="s">
        <v>215</v>
      </c>
      <c r="L52" s="821"/>
      <c r="M52" s="587" t="str">
        <f>IF(Z53="LEEG","▼","")</f>
        <v/>
      </c>
      <c r="N52" s="17"/>
      <c r="O52" s="17"/>
      <c r="P52" s="17"/>
      <c r="Q52" s="60"/>
      <c r="R52" s="17"/>
      <c r="S52" s="359">
        <f>S51+1</f>
        <v>3</v>
      </c>
      <c r="T52" s="291" t="str">
        <f ca="1">VLOOKUP(V52,Voorblad!$X$67:$Z$98,2,FALSE)</f>
        <v>ZZZ_land_H2</v>
      </c>
      <c r="U52" s="235" t="str">
        <f>VLOOKUP(V52,Voorblad!$X$67:$Z$98,3,FALSE)</f>
        <v>ZF</v>
      </c>
      <c r="V52" s="292" t="str">
        <f>V50&amp;2</f>
        <v>H2</v>
      </c>
      <c r="W52" s="589" t="str">
        <f>"|"&amp;Taal02!C43&amp;"|"&amp;Taal02!D43&amp;"|"&amp;Taal02!E43&amp;"|"&amp;Taal02!F43&amp;"|"&amp;Taal02!G43&amp;"|"&amp;Taal02!H43&amp;"|"&amp;Taal02!I43&amp;"|"&amp;Taal02!J43&amp;"|"</f>
        <v>|ZZZ_land_H2|ZZZ_land_H2|ZZZ_land_H2|ZZZ_land_H2|||||</v>
      </c>
      <c r="X52" s="487" t="s">
        <v>222</v>
      </c>
      <c r="Y52" s="144">
        <f>IF(ISBLANK(E52),1,IF(SUBSTITUTE(W46,E52,"#")&lt;&gt;W46,2,IF(SUBSTITUTE(W47,E52,"#")&lt;&gt;W47,3,IF(SUBSTITUTE(W48,E52,"#")&lt;&gt;W48,4,IF(SUBSTITUTE(W49,E52,"#")&lt;&gt;W49,5,6)))))</f>
        <v>1</v>
      </c>
      <c r="Z52" s="144">
        <f>IF(ISBLANK(L52),1,IF(SUBSTITUTE(W51,L52,"#")&lt;&gt;W51,2,IF(SUBSTITUTE(W52,L52,"#")&lt;&gt;W52,3,IF(SUBSTITUTE(W53,L52,"#")&lt;&gt;W53,4,IF(SUBSTITUTE(W54,L52,"#")&lt;&gt;W54,5,6)))))</f>
        <v>1</v>
      </c>
      <c r="AA52" s="480" t="str">
        <f>RIGHT(V52,1)</f>
        <v>2</v>
      </c>
      <c r="AB52" s="435" t="str">
        <f ca="1">Groepswedstrijden!AG77</f>
        <v/>
      </c>
      <c r="AC52" s="434" t="e">
        <f>#REF!</f>
        <v>#REF!</v>
      </c>
      <c r="AD52" s="481">
        <f ca="1">IF($AC$7=1,VLOOKUP($V52,Groepswedstrijden!$AH$12:$BA$78,20,FALSE),IF($AC$11=1,VLOOKUP($V52,#REF!,20,FALSE),""))</f>
        <v>3</v>
      </c>
      <c r="AE52" s="485" t="str">
        <f ca="1">IF($AC$7=1,VLOOKUP($V52,Groepswedstrijden!$AH$12:$BA$78,3,FALSE),IF($AC$11=1,VLOOKUP($V52,#REF!,3,FALSE),""))</f>
        <v>ZZZ_land_H2</v>
      </c>
      <c r="AF52" s="481">
        <f ca="1">IF($AC$7=1,VLOOKUP($V52,Groepswedstrijden!$AH$12:$BA$78,9,FALSE),IF($AC$11=1,VLOOKUP($V52,#REF!,9,FALSE),""))</f>
        <v>0</v>
      </c>
      <c r="AG52" s="481">
        <f ca="1">IF($AC$7=1,VLOOKUP($V52,Groepswedstrijden!$AH$12:$BA$78,10,FALSE),IF($AC$11=1,VLOOKUP($V52,#REF!,10,FALSE),""))</f>
        <v>0</v>
      </c>
      <c r="AH52" s="481">
        <f ca="1">IF($AC$7=1,VLOOKUP($V52,Groepswedstrijden!$AH$12:$BA$78,11,FALSE),IF($AC$11=1,VLOOKUP($V52,#REF!,11,FALSE),""))</f>
        <v>0</v>
      </c>
      <c r="AI52" s="483">
        <f ca="1">IF($AC$7=1,VLOOKUP($V52,Groepswedstrijden!$AH$12:$BA$78,19,FALSE),IF($AC$11=1,VLOOKUP($V52,#REF!,19,FALSE),""))</f>
        <v>5000003500002</v>
      </c>
      <c r="AJ52" s="486">
        <f ca="1">FLOOR(IF($AD51=2,AI51,IF($AD52=2,AI52,IF($AD53=2,AI53,AI54)))/10,1)</f>
        <v>500000350000</v>
      </c>
      <c r="AL52" s="1160"/>
      <c r="AM52" s="339" t="str">
        <f ca="1">IF(AJ52=AJ51,"","2.")</f>
        <v/>
      </c>
      <c r="AN52" s="340" t="str">
        <f ca="1">IF($AD51=2,AE51,IF($AD52=2,AE52,IF($AD53=2,AE53,AE54)))</f>
        <v>ZZZ_land_H3</v>
      </c>
      <c r="AO52" s="341">
        <f ca="1">IF($AD51=2,AF51,IF($AD52=2,AF52,IF($AD53=2,AF53,AF54)))</f>
        <v>0</v>
      </c>
      <c r="AP52" s="341">
        <f ca="1">IF($AD51=2,AG51,IF($AD52=2,AG52,IF($AD53=2,AG53,AG54)))</f>
        <v>0</v>
      </c>
      <c r="AQ52" s="341">
        <f ca="1">IF($AD51=2,AH51,IF($AD52=2,AH52,IF($AD53=2,AH53,AH54)))</f>
        <v>0</v>
      </c>
    </row>
    <row r="53" spans="1:43" ht="20.100000000000001" hidden="1" customHeight="1" x14ac:dyDescent="0.25">
      <c r="A53" s="576" t="str">
        <f t="shared" si="0"/>
        <v>H</v>
      </c>
      <c r="B53" s="17"/>
      <c r="C53" s="949"/>
      <c r="D53" s="1153" t="str">
        <f ca="1">IF($S$12=1,IF($AC$7=1,AB49,IF($AC$11=1,AC49,"")),IF(AND($S$12=2,OR($Y$53="LEEG",$Y$53="ONGELDIG")),IF($AC$7=1,AB49,IF($AC$11=1,AC49,"")),""))</f>
        <v/>
      </c>
      <c r="E53" s="1153"/>
      <c r="F53" s="1153"/>
      <c r="G53" s="1153"/>
      <c r="H53" s="1153"/>
      <c r="I53" s="1153"/>
      <c r="J53" s="17"/>
      <c r="K53" s="1153" t="str">
        <f ca="1">IF($S$12=1,IF($AC$7=1,AB54,IF($AC$11=1,AC54,"")),IF(AND($S$12=2,OR($Z$53="LEEG",$Z$53="ONGELDIG")),IF($AC$7=1,AB54,IF($AC$11=1,AC54,"")),""))</f>
        <v/>
      </c>
      <c r="L53" s="1153"/>
      <c r="M53" s="1153"/>
      <c r="N53" s="1153"/>
      <c r="O53" s="1153"/>
      <c r="P53" s="1153"/>
      <c r="Q53" s="60"/>
      <c r="R53" s="17"/>
      <c r="S53" s="359">
        <f>S52+1</f>
        <v>4</v>
      </c>
      <c r="T53" s="291" t="str">
        <f ca="1">VLOOKUP(V53,Voorblad!$X$67:$Z$98,2,FALSE)</f>
        <v>ZZZ_land_H3</v>
      </c>
      <c r="U53" s="235" t="str">
        <f>VLOOKUP(V53,Voorblad!$X$67:$Z$98,3,FALSE)</f>
        <v>ZG</v>
      </c>
      <c r="V53" s="292" t="str">
        <f>V50&amp;3</f>
        <v>H3</v>
      </c>
      <c r="W53" s="589" t="str">
        <f>"|"&amp;Taal02!C44&amp;"|"&amp;Taal02!D44&amp;"|"&amp;Taal02!E44&amp;"|"&amp;Taal02!F44&amp;"|"&amp;Taal02!G44&amp;"|"&amp;Taal02!H44&amp;"|"&amp;Taal02!I44&amp;"|"&amp;Taal02!J44&amp;"|"</f>
        <v>|ZZZ_land_H3|ZZZ_land_H3|ZZZ_land_H3|ZZZ_land_H3|||||</v>
      </c>
      <c r="X53" s="487" t="s">
        <v>223</v>
      </c>
      <c r="Y53" s="144" t="str">
        <f>IF($A52="H","",IF(Y52=1, "LEEG",IF(AND(Y52&gt;1,Y52&lt;6,TYPE(Y46+Y48+Y50+Y52)=1),IF(OR(Y52=Y46,Y52=Y48,Y52=Y50),"DUBBEL","GOED"),"ONGELDIG")))</f>
        <v/>
      </c>
      <c r="Z53" s="144" t="str">
        <f>IF($A52="H","",IF(Z52=1, "LEEG",IF(AND(Z52&gt;1,Z52&lt;6,TYPE(Z46+Z48+Z50+Z52)=1),IF(OR(Z52=Z46,Z52=Z48,Z52=Z50),"DUBBEL","GOED"),"ONGELDIG")))</f>
        <v/>
      </c>
      <c r="AA53" s="480" t="str">
        <f>RIGHT(V53,1)</f>
        <v>3</v>
      </c>
      <c r="AB53" s="435" t="str">
        <f ca="1">Groepswedstrijden!AG78</f>
        <v/>
      </c>
      <c r="AC53" s="434" t="e">
        <f>#REF!</f>
        <v>#REF!</v>
      </c>
      <c r="AD53" s="481">
        <f ca="1">IF($AC$7=1,VLOOKUP($V53,Groepswedstrijden!$AH$12:$BA$78,20,FALSE),IF($AC$11=1,VLOOKUP($V53,#REF!,20,FALSE),""))</f>
        <v>2</v>
      </c>
      <c r="AE53" s="485" t="str">
        <f ca="1">IF($AC$7=1,VLOOKUP($V53,Groepswedstrijden!$AH$12:$BA$78,3,FALSE),IF($AC$11=1,VLOOKUP($V53,#REF!,3,FALSE),""))</f>
        <v>ZZZ_land_H3</v>
      </c>
      <c r="AF53" s="481">
        <f ca="1">IF($AC$7=1,VLOOKUP($V53,Groepswedstrijden!$AH$12:$BA$78,9,FALSE),IF($AC$11=1,VLOOKUP($V53,#REF!,9,FALSE),""))</f>
        <v>0</v>
      </c>
      <c r="AG53" s="481">
        <f ca="1">IF($AC$7=1,VLOOKUP($V53,Groepswedstrijden!$AH$12:$BA$78,10,FALSE),IF($AC$11=1,VLOOKUP($V53,#REF!,10,FALSE),""))</f>
        <v>0</v>
      </c>
      <c r="AH53" s="481">
        <f ca="1">IF($AC$7=1,VLOOKUP($V53,Groepswedstrijden!$AH$12:$BA$78,11,FALSE),IF($AC$11=1,VLOOKUP($V53,#REF!,11,FALSE),""))</f>
        <v>0</v>
      </c>
      <c r="AI53" s="483">
        <f ca="1">IF($AC$7=1,VLOOKUP($V53,Groepswedstrijden!$AH$12:$BA$78,19,FALSE),IF($AC$11=1,VLOOKUP($V53,#REF!,19,FALSE),""))</f>
        <v>5000003500003</v>
      </c>
      <c r="AJ53" s="486">
        <f ca="1">FLOOR(IF($AD51=3,AI51,IF($AD52=3,AI52,IF($AD53=3,AI53,AI54)))/10,1)</f>
        <v>500000350000</v>
      </c>
      <c r="AL53" s="1160"/>
      <c r="AM53" s="339" t="str">
        <f ca="1">IF(AJ53=AJ52,"","3.")</f>
        <v/>
      </c>
      <c r="AN53" s="340" t="str">
        <f ca="1">IF($AD51=3,AE51,IF($AD52=3,AE52,IF($AD53=3,AE53,AE54)))</f>
        <v>ZZZ_land_H2</v>
      </c>
      <c r="AO53" s="341">
        <f ca="1">IF($AD51=3,AF51,IF($AD52=3,AF52,IF($AD53=3,AF53,AF54)))</f>
        <v>0</v>
      </c>
      <c r="AP53" s="341">
        <f ca="1">IF($AD51=3,AG51,IF($AD52=3,AG52,IF($AD53=3,AG53,AG54)))</f>
        <v>0</v>
      </c>
      <c r="AQ53" s="341">
        <f ca="1">IF($AD51=3,AH51,IF($AD52=3,AH52,IF($AD53=3,AH53,AH54)))</f>
        <v>0</v>
      </c>
    </row>
    <row r="54" spans="1:43" ht="15" hidden="1" customHeight="1" x14ac:dyDescent="0.25">
      <c r="A54" s="576" t="str">
        <f t="shared" si="0"/>
        <v>H</v>
      </c>
      <c r="B54" s="17"/>
      <c r="C54" s="949"/>
      <c r="D54" s="17"/>
      <c r="E54" s="17"/>
      <c r="F54" s="17"/>
      <c r="G54" s="17"/>
      <c r="H54" s="17"/>
      <c r="I54" s="17"/>
      <c r="J54" s="17"/>
      <c r="K54" s="17"/>
      <c r="L54" s="17"/>
      <c r="M54" s="17"/>
      <c r="N54" s="17"/>
      <c r="O54" s="17"/>
      <c r="P54" s="17"/>
      <c r="Q54" s="60"/>
      <c r="R54" s="17"/>
      <c r="S54" s="359">
        <f>S53+1</f>
        <v>5</v>
      </c>
      <c r="T54" s="293" t="str">
        <f ca="1">VLOOKUP(V54,Voorblad!$X$67:$Z$98,2,FALSE)</f>
        <v>ZZZ_land_H4</v>
      </c>
      <c r="U54" s="294" t="str">
        <f>VLOOKUP(V54,Voorblad!$X$67:$Z$98,3,FALSE)</f>
        <v>ZH</v>
      </c>
      <c r="V54" s="295" t="str">
        <f>V50&amp;4</f>
        <v>H4</v>
      </c>
      <c r="W54" s="589" t="str">
        <f>"|"&amp;Taal02!C45&amp;"|"&amp;Taal02!D45&amp;"|"&amp;Taal02!E45&amp;"|"&amp;Taal02!F45&amp;"|"&amp;Taal02!G45&amp;"|"&amp;Taal02!H45&amp;"|"&amp;Taal02!I45&amp;"|"&amp;Taal02!J45&amp;"|"</f>
        <v>|ZZZ_land_H4|ZZZ_land_H4|ZZZ_land_H4|ZZZ_land_H4|||||</v>
      </c>
      <c r="X54" s="487" t="s">
        <v>224</v>
      </c>
      <c r="Y54" s="405" t="str">
        <f>IF(TYPE(1*((Y46+Y48+Y50+Y52)&amp;(Y46*Y48*Y50*Y52)))=1,(Y46+Y48+Y50+Y52)&amp;(Y46*Y48*Y50*Y52),14120)</f>
        <v>41</v>
      </c>
      <c r="Z54" s="405" t="str">
        <f>IF(TYPE(1*((Z46+Z48+Z50+Z52)&amp;(Z46*Z48*Z50*Z52)))=1,(Z46+Z48+Z50+Z52)&amp;(Z46*Z48*Z50*Z52),14120)</f>
        <v>41</v>
      </c>
      <c r="AA54" s="480" t="str">
        <f>RIGHT(V54,1)</f>
        <v>4</v>
      </c>
      <c r="AB54" s="435" t="str">
        <f ca="1">Groepswedstrijden!AG79</f>
        <v/>
      </c>
      <c r="AC54" s="434" t="e">
        <f>#REF!</f>
        <v>#REF!</v>
      </c>
      <c r="AD54" s="481">
        <f ca="1">IF($AC$7=1,VLOOKUP($V54,Groepswedstrijden!$AH$12:$BA$78,20,FALSE),IF($AC$11=1,VLOOKUP($V54,#REF!,20,FALSE),""))</f>
        <v>1</v>
      </c>
      <c r="AE54" s="485" t="str">
        <f ca="1">IF($AC$7=1,VLOOKUP($V54,Groepswedstrijden!$AH$12:$BA$78,3,FALSE),IF($AC$11=1,VLOOKUP($V54,#REF!,3,FALSE),""))</f>
        <v>ZZZ_land_H4</v>
      </c>
      <c r="AF54" s="481">
        <f ca="1">IF($AC$7=1,VLOOKUP($V54,Groepswedstrijden!$AH$12:$BA$78,9,FALSE),IF($AC$11=1,VLOOKUP($V54,#REF!,9,FALSE),""))</f>
        <v>0</v>
      </c>
      <c r="AG54" s="481">
        <f ca="1">IF($AC$7=1,VLOOKUP($V54,Groepswedstrijden!$AH$12:$BA$78,10,FALSE),IF($AC$11=1,VLOOKUP($V54,#REF!,10,FALSE),""))</f>
        <v>0</v>
      </c>
      <c r="AH54" s="481">
        <f ca="1">IF($AC$7=1,VLOOKUP($V54,Groepswedstrijden!$AH$12:$BA$78,11,FALSE),IF($AC$11=1,VLOOKUP($V54,#REF!,11,FALSE),""))</f>
        <v>0</v>
      </c>
      <c r="AI54" s="483">
        <f ca="1">IF($AC$7=1,VLOOKUP($V54,Groepswedstrijden!$AH$12:$BA$78,19,FALSE),IF($AC$11=1,VLOOKUP($V54,#REF!,19,FALSE),""))</f>
        <v>5000003500004</v>
      </c>
      <c r="AJ54" s="486">
        <f ca="1">FLOOR(IF($AD51=4,AI51,IF($AD52=4,AI52,IF($AD53=4,AI53,AI54)))/10,1)</f>
        <v>500000350000</v>
      </c>
      <c r="AK54" s="164"/>
      <c r="AL54" s="1161"/>
      <c r="AM54" s="342" t="str">
        <f ca="1">IF(AJ54=AJ53,"","4.")</f>
        <v/>
      </c>
      <c r="AN54" s="343" t="str">
        <f ca="1">IF($AD51=4,AE51,IF($AD52=4,AE52,IF($AD53=4,AE53,AE54)))</f>
        <v>ZZZ_land_H1</v>
      </c>
      <c r="AO54" s="344">
        <f ca="1">IF($AD51=4,AF51,IF($AD52=4,AF52,IF($AD53=4,AF53,AF54)))</f>
        <v>0</v>
      </c>
      <c r="AP54" s="344">
        <f ca="1">IF($AD51=4,AG51,IF($AD52=4,AG52,IF($AD53=4,AG53,AG54)))</f>
        <v>0</v>
      </c>
      <c r="AQ54" s="344">
        <f ca="1">IF($AD51=4,AH51,IF($AD52=4,AH52,IF($AD53=4,AH53,AH54)))</f>
        <v>0</v>
      </c>
    </row>
    <row r="55" spans="1:43" ht="15" customHeight="1" x14ac:dyDescent="0.25">
      <c r="A55" s="576" t="str">
        <f>IF(A45="H","","H")</f>
        <v/>
      </c>
      <c r="B55" s="17"/>
      <c r="C55" s="949"/>
      <c r="D55" s="17"/>
      <c r="E55" s="17"/>
      <c r="F55" s="17"/>
      <c r="G55" s="17"/>
      <c r="H55" s="17"/>
      <c r="I55" s="17"/>
      <c r="J55" s="17"/>
      <c r="K55" s="17"/>
      <c r="L55" s="17"/>
      <c r="M55" s="17"/>
      <c r="N55" s="17"/>
      <c r="O55" s="17"/>
      <c r="P55" s="17"/>
      <c r="Q55" s="60"/>
      <c r="R55" s="17"/>
      <c r="S55" s="10"/>
      <c r="T55" s="10"/>
      <c r="U55" s="10"/>
      <c r="V55" s="10"/>
      <c r="W55" s="10"/>
      <c r="X55" s="144"/>
      <c r="Y55" s="194"/>
      <c r="Z55" s="194"/>
      <c r="AA55" s="406"/>
      <c r="AB55" s="409"/>
      <c r="AC55" s="406"/>
      <c r="AD55" s="407"/>
      <c r="AE55" s="407"/>
      <c r="AF55" s="407"/>
      <c r="AG55" s="407"/>
      <c r="AH55" s="407"/>
      <c r="AI55" s="410"/>
      <c r="AJ55" s="408"/>
      <c r="AK55" s="164"/>
    </row>
    <row r="56" spans="1:43" ht="15" customHeight="1" x14ac:dyDescent="0.25">
      <c r="A56" s="576" t="str">
        <f t="shared" ref="A56:A64" si="1">IF(A46="H","","H")</f>
        <v/>
      </c>
      <c r="B56" s="17"/>
      <c r="C56" s="949"/>
      <c r="D56" s="17"/>
      <c r="E56" s="17"/>
      <c r="F56" s="17"/>
      <c r="G56" s="17"/>
      <c r="H56" s="17"/>
      <c r="I56" s="17"/>
      <c r="J56" s="17"/>
      <c r="K56" s="17"/>
      <c r="L56" s="17"/>
      <c r="M56" s="17"/>
      <c r="N56" s="17"/>
      <c r="O56" s="17"/>
      <c r="P56" s="17"/>
      <c r="Q56" s="60"/>
      <c r="R56" s="17"/>
      <c r="S56" s="194"/>
      <c r="T56" s="194"/>
      <c r="U56" s="194"/>
      <c r="V56" s="194"/>
      <c r="W56" s="194"/>
      <c r="X56" s="1188" t="s">
        <v>176</v>
      </c>
      <c r="Y56" s="1188"/>
      <c r="Z56" s="1188"/>
      <c r="AA56" s="144"/>
      <c r="AB56" s="144"/>
      <c r="AC56" s="144"/>
      <c r="AD56" s="144"/>
      <c r="AE56" s="144"/>
      <c r="AF56" s="144"/>
      <c r="AG56" s="144"/>
      <c r="AH56" s="144"/>
      <c r="AI56" s="144"/>
      <c r="AJ56" s="144"/>
      <c r="AK56" s="164"/>
      <c r="AO56" s="1154" t="str">
        <f ca="1">AO9</f>
        <v>Punten</v>
      </c>
      <c r="AP56" s="1154" t="str">
        <f ca="1">AP9</f>
        <v>Doelpunten voor</v>
      </c>
      <c r="AQ56" s="1154" t="str">
        <f ca="1">AQ9</f>
        <v>Doelpunten tegen</v>
      </c>
    </row>
    <row r="57" spans="1:43" ht="20.100000000000001" customHeight="1" x14ac:dyDescent="0.25">
      <c r="A57" s="576" t="str">
        <f t="shared" si="1"/>
        <v/>
      </c>
      <c r="B57" s="17"/>
      <c r="C57" s="949"/>
      <c r="D57" s="17"/>
      <c r="E57" s="17"/>
      <c r="F57" s="17"/>
      <c r="G57" s="17"/>
      <c r="H57" s="17"/>
      <c r="I57" s="17"/>
      <c r="J57" s="17"/>
      <c r="K57" s="17"/>
      <c r="L57" s="17"/>
      <c r="M57" s="17"/>
      <c r="N57" s="17"/>
      <c r="O57" s="17"/>
      <c r="P57" s="17"/>
      <c r="Q57" s="60"/>
      <c r="R57" s="17"/>
      <c r="S57" s="144"/>
      <c r="T57" s="196" t="s">
        <v>225</v>
      </c>
      <c r="U57" s="144"/>
      <c r="V57" s="144"/>
      <c r="W57" s="144"/>
      <c r="X57" s="1177" t="str">
        <f ca="1">Y15&amp;Z15&amp;Y25&amp;Z25&amp;Y35&amp;Z35&amp;IF(A45="H","",Y45&amp;Z45)</f>
        <v>DE.CH.HU.SC|ES.HR.IT.AL|GB.DK.RS.SI|FR.NL.AT.PL|BE.UA.SK.RO|PT.TR.CZ.GE|</v>
      </c>
      <c r="Y57" s="1178"/>
      <c r="Z57" s="1179"/>
      <c r="AA57" s="1186" t="s">
        <v>270</v>
      </c>
      <c r="AB57" s="1187"/>
      <c r="AC57" s="162"/>
      <c r="AD57" s="144"/>
      <c r="AE57" s="144"/>
      <c r="AF57" s="144"/>
      <c r="AG57" s="144"/>
      <c r="AH57" s="144"/>
      <c r="AI57" s="144"/>
      <c r="AJ57" s="144"/>
      <c r="AK57" s="164"/>
      <c r="AO57" s="1155"/>
      <c r="AP57" s="1155"/>
      <c r="AQ57" s="1155"/>
    </row>
    <row r="58" spans="1:43" ht="15" customHeight="1" x14ac:dyDescent="0.25">
      <c r="A58" s="576" t="str">
        <f t="shared" si="1"/>
        <v/>
      </c>
      <c r="B58" s="17"/>
      <c r="C58" s="949"/>
      <c r="D58" s="17"/>
      <c r="E58" s="17"/>
      <c r="F58" s="17"/>
      <c r="G58" s="17"/>
      <c r="H58" s="17"/>
      <c r="I58" s="17"/>
      <c r="J58" s="17"/>
      <c r="K58" s="17"/>
      <c r="L58" s="17"/>
      <c r="M58" s="17"/>
      <c r="N58" s="17"/>
      <c r="O58" s="17"/>
      <c r="P58" s="17"/>
      <c r="Q58" s="60"/>
      <c r="R58" s="17"/>
      <c r="S58" s="144"/>
      <c r="T58" s="195" t="s">
        <v>199</v>
      </c>
      <c r="U58" s="144"/>
      <c r="V58" s="144"/>
      <c r="W58" s="144"/>
      <c r="X58" s="1180"/>
      <c r="Y58" s="1181"/>
      <c r="Z58" s="1182"/>
      <c r="AA58" s="1186"/>
      <c r="AB58" s="1187"/>
      <c r="AC58" s="162"/>
      <c r="AD58" s="144"/>
      <c r="AE58" s="144"/>
      <c r="AF58" s="144"/>
      <c r="AG58" s="144"/>
      <c r="AH58" s="144"/>
      <c r="AI58" s="144"/>
      <c r="AJ58" s="144"/>
      <c r="AK58" s="164"/>
      <c r="AO58" s="1155"/>
      <c r="AP58" s="1155"/>
      <c r="AQ58" s="1155"/>
    </row>
    <row r="59" spans="1:43" ht="20.100000000000001" customHeight="1" x14ac:dyDescent="0.25">
      <c r="A59" s="576" t="str">
        <f t="shared" si="1"/>
        <v/>
      </c>
      <c r="B59" s="17"/>
      <c r="C59" s="949"/>
      <c r="D59" s="17"/>
      <c r="E59" s="17"/>
      <c r="F59" s="17"/>
      <c r="G59" s="17"/>
      <c r="H59" s="17"/>
      <c r="I59" s="17"/>
      <c r="J59" s="17"/>
      <c r="K59" s="17"/>
      <c r="L59" s="17"/>
      <c r="M59" s="17"/>
      <c r="N59" s="17"/>
      <c r="O59" s="17"/>
      <c r="P59" s="17"/>
      <c r="Q59" s="60"/>
      <c r="R59" s="17"/>
      <c r="S59" s="144"/>
      <c r="T59" s="193">
        <f ca="1">IF(COUNTIF(Y15:Z54,"DUBBEL")&gt;0,1,0)</f>
        <v>0</v>
      </c>
      <c r="U59" s="144"/>
      <c r="V59" s="144"/>
      <c r="W59" s="144"/>
      <c r="X59" s="1183"/>
      <c r="Y59" s="1184"/>
      <c r="Z59" s="1185"/>
      <c r="AA59" s="1186" t="str">
        <f ca="1">IF(LEN(SUBSTITUTE(X57,"FOUT","ONGELDIG"))=Z60,"GOED","FOUT")</f>
        <v>GOED</v>
      </c>
      <c r="AB59" s="1187"/>
      <c r="AC59" s="162"/>
      <c r="AD59" s="144"/>
      <c r="AE59" s="144"/>
      <c r="AF59" s="144"/>
      <c r="AG59" s="144"/>
      <c r="AH59" s="144"/>
      <c r="AI59" s="144"/>
      <c r="AJ59" s="144"/>
      <c r="AK59" s="164"/>
      <c r="AO59" s="1155"/>
      <c r="AP59" s="1155"/>
      <c r="AQ59" s="1155"/>
    </row>
    <row r="60" spans="1:43" ht="15" customHeight="1" x14ac:dyDescent="0.25">
      <c r="A60" s="576" t="str">
        <f t="shared" si="1"/>
        <v/>
      </c>
      <c r="B60" s="17"/>
      <c r="C60" s="949"/>
      <c r="D60" s="17"/>
      <c r="E60" s="17"/>
      <c r="F60" s="17"/>
      <c r="G60" s="17"/>
      <c r="H60" s="17"/>
      <c r="I60" s="17"/>
      <c r="J60" s="17"/>
      <c r="K60" s="17"/>
      <c r="L60" s="17"/>
      <c r="M60" s="17"/>
      <c r="N60" s="17"/>
      <c r="O60" s="17"/>
      <c r="P60" s="17"/>
      <c r="Q60" s="60"/>
      <c r="R60" s="17"/>
      <c r="S60" s="144"/>
      <c r="T60" s="144"/>
      <c r="U60" s="144"/>
      <c r="V60" s="144"/>
      <c r="W60" s="144"/>
      <c r="X60" s="144"/>
      <c r="Y60" s="144"/>
      <c r="Z60" s="261">
        <f ca="1">LEN(X57)</f>
        <v>72</v>
      </c>
      <c r="AA60" s="144"/>
      <c r="AB60" s="144"/>
      <c r="AC60" s="144"/>
      <c r="AD60" s="144"/>
      <c r="AE60" s="144"/>
      <c r="AF60" s="144"/>
      <c r="AG60" s="144"/>
      <c r="AH60" s="144"/>
      <c r="AI60" s="144"/>
      <c r="AJ60" s="144"/>
      <c r="AK60" s="164"/>
      <c r="AO60" s="1155"/>
      <c r="AP60" s="1155"/>
      <c r="AQ60" s="1155"/>
    </row>
    <row r="61" spans="1:43" ht="20.100000000000001" customHeight="1" x14ac:dyDescent="0.25">
      <c r="A61" s="576" t="str">
        <f t="shared" si="1"/>
        <v/>
      </c>
      <c r="B61" s="17"/>
      <c r="C61" s="949"/>
      <c r="D61" s="17"/>
      <c r="E61" s="17"/>
      <c r="F61" s="17"/>
      <c r="G61" s="17"/>
      <c r="H61" s="17"/>
      <c r="I61" s="17"/>
      <c r="J61" s="17"/>
      <c r="K61" s="17"/>
      <c r="L61" s="17"/>
      <c r="M61" s="17"/>
      <c r="N61" s="17"/>
      <c r="O61" s="17"/>
      <c r="P61" s="17"/>
      <c r="Q61" s="60"/>
      <c r="R61" s="17"/>
      <c r="Z61" s="44"/>
      <c r="AA61" s="44"/>
      <c r="AB61" s="44"/>
      <c r="AC61" s="44"/>
      <c r="AE61" s="44"/>
      <c r="AF61" s="44"/>
      <c r="AG61" s="44"/>
      <c r="AH61" s="44"/>
      <c r="AI61" s="44"/>
      <c r="AJ61" s="44"/>
      <c r="AK61" s="164"/>
      <c r="AO61" s="1156"/>
      <c r="AP61" s="1156"/>
      <c r="AQ61" s="1156"/>
    </row>
    <row r="62" spans="1:43" ht="15" customHeight="1" x14ac:dyDescent="0.25">
      <c r="A62" s="576" t="str">
        <f t="shared" si="1"/>
        <v/>
      </c>
      <c r="B62" s="17"/>
      <c r="C62" s="949"/>
      <c r="D62" s="17"/>
      <c r="E62" s="17"/>
      <c r="F62" s="17"/>
      <c r="G62" s="17"/>
      <c r="H62" s="17"/>
      <c r="I62" s="17"/>
      <c r="J62" s="17"/>
      <c r="K62" s="17"/>
      <c r="L62" s="17"/>
      <c r="M62" s="17"/>
      <c r="N62" s="17"/>
      <c r="O62" s="17"/>
      <c r="P62" s="17"/>
      <c r="Q62" s="60"/>
      <c r="R62" s="17"/>
      <c r="Z62" s="44"/>
      <c r="AA62" s="44"/>
      <c r="AB62" s="44"/>
      <c r="AC62" s="44"/>
      <c r="AE62" s="44"/>
      <c r="AF62" s="44"/>
      <c r="AG62" s="44"/>
      <c r="AH62" s="44"/>
      <c r="AI62" s="44"/>
      <c r="AJ62" s="44"/>
      <c r="AK62" s="164"/>
    </row>
    <row r="63" spans="1:43" ht="20.100000000000001" customHeight="1" x14ac:dyDescent="0.25">
      <c r="A63" s="576" t="str">
        <f t="shared" si="1"/>
        <v/>
      </c>
      <c r="B63" s="17"/>
      <c r="C63" s="949"/>
      <c r="D63" s="17"/>
      <c r="E63" s="17"/>
      <c r="F63" s="17"/>
      <c r="G63" s="17"/>
      <c r="H63" s="17"/>
      <c r="I63" s="17"/>
      <c r="J63" s="17"/>
      <c r="K63" s="17"/>
      <c r="L63" s="17"/>
      <c r="M63" s="17"/>
      <c r="N63" s="17"/>
      <c r="O63" s="17"/>
      <c r="P63" s="17"/>
      <c r="Q63" s="60"/>
      <c r="R63" s="17"/>
      <c r="Z63" s="44"/>
      <c r="AA63" s="44"/>
      <c r="AB63" s="44"/>
      <c r="AC63" s="44"/>
      <c r="AE63" s="44"/>
      <c r="AF63" s="44"/>
      <c r="AG63" s="44"/>
      <c r="AH63" s="44"/>
      <c r="AI63" s="44"/>
      <c r="AJ63" s="44"/>
      <c r="AK63" s="164"/>
    </row>
    <row r="64" spans="1:43" ht="15" customHeight="1" x14ac:dyDescent="0.25">
      <c r="A64" s="576" t="str">
        <f t="shared" si="1"/>
        <v/>
      </c>
      <c r="B64" s="17"/>
      <c r="C64" s="949"/>
      <c r="D64" s="17"/>
      <c r="E64" s="17"/>
      <c r="F64" s="17"/>
      <c r="G64" s="17"/>
      <c r="H64" s="17"/>
      <c r="I64" s="17"/>
      <c r="J64" s="17"/>
      <c r="K64" s="17"/>
      <c r="L64" s="17"/>
      <c r="M64" s="17"/>
      <c r="N64" s="17"/>
      <c r="O64" s="17"/>
      <c r="P64" s="17"/>
      <c r="Q64" s="60"/>
      <c r="R64" s="17"/>
      <c r="Z64" s="44"/>
      <c r="AA64" s="44"/>
      <c r="AB64" s="44"/>
      <c r="AC64" s="44"/>
      <c r="AE64" s="44"/>
      <c r="AF64" s="44"/>
      <c r="AG64" s="44"/>
      <c r="AH64" s="44"/>
      <c r="AI64" s="44"/>
      <c r="AJ64" s="44"/>
      <c r="AK64" s="164"/>
    </row>
    <row r="65" spans="2:43" ht="15" customHeight="1" x14ac:dyDescent="0.25">
      <c r="B65" s="17"/>
      <c r="C65" s="950"/>
      <c r="D65" s="107"/>
      <c r="E65" s="107"/>
      <c r="F65" s="107"/>
      <c r="G65" s="107"/>
      <c r="H65" s="107"/>
      <c r="I65" s="107"/>
      <c r="J65" s="107"/>
      <c r="K65" s="107"/>
      <c r="L65" s="107"/>
      <c r="M65" s="107"/>
      <c r="N65" s="107"/>
      <c r="O65" s="107"/>
      <c r="P65" s="107"/>
      <c r="Q65" s="952"/>
      <c r="R65" s="17"/>
      <c r="AL65" s="602" t="str">
        <f ca="1">IF(OR(AH9="JA",A45="H"),"","└ "&amp;SUBSTITUTE(Taal04!B62,"#",RIGHT(AL51,1)))</f>
        <v/>
      </c>
    </row>
    <row r="66" spans="2:43" ht="15" customHeight="1" x14ac:dyDescent="0.25">
      <c r="B66" s="17"/>
      <c r="C66" s="17"/>
      <c r="D66" s="17"/>
      <c r="E66" s="17"/>
      <c r="F66" s="17"/>
      <c r="G66" s="17"/>
      <c r="H66" s="17"/>
      <c r="I66" s="17"/>
      <c r="J66" s="17"/>
      <c r="K66" s="17"/>
      <c r="L66" s="17"/>
      <c r="M66" s="17"/>
      <c r="N66" s="17"/>
      <c r="O66" s="17"/>
      <c r="P66" s="17"/>
      <c r="Q66" s="17"/>
      <c r="R66" s="17"/>
      <c r="AO66" s="1154" t="str">
        <f>IF(A45="H","",AO9)</f>
        <v/>
      </c>
      <c r="AP66" s="1154" t="str">
        <f>IF(A45="H","",AP9)</f>
        <v/>
      </c>
      <c r="AQ66" s="1154" t="str">
        <f>IF(A45="H","",AQ9)</f>
        <v/>
      </c>
    </row>
    <row r="67" spans="2:43" ht="15" customHeight="1" x14ac:dyDescent="0.25">
      <c r="B67" s="17"/>
      <c r="C67" s="985"/>
      <c r="D67" s="975" t="str">
        <f>IF(Reglement!D71="","",Reglement!D71)</f>
        <v>www.excel-pool.nl</v>
      </c>
      <c r="E67" s="986"/>
      <c r="F67" s="986"/>
      <c r="G67" s="986"/>
      <c r="H67" s="986"/>
      <c r="I67" s="986"/>
      <c r="J67" s="986"/>
      <c r="K67" s="986"/>
      <c r="L67" s="986"/>
      <c r="M67" s="986"/>
      <c r="N67" s="986"/>
      <c r="O67" s="986"/>
      <c r="P67" s="977" t="str">
        <f>IF(Reglement!M71="","",Reglement!M71)</f>
        <v>©2024 Eric de Jong v24.00dh</v>
      </c>
      <c r="Q67" s="987"/>
      <c r="R67" s="17"/>
      <c r="AO67" s="1155"/>
      <c r="AP67" s="1155"/>
      <c r="AQ67" s="1155"/>
    </row>
    <row r="68" spans="2:43" ht="15" customHeight="1" x14ac:dyDescent="0.25">
      <c r="B68" s="17"/>
      <c r="C68" s="17"/>
      <c r="D68" s="17"/>
      <c r="E68" s="17"/>
      <c r="F68" s="17"/>
      <c r="G68" s="17"/>
      <c r="H68" s="17"/>
      <c r="I68" s="17"/>
      <c r="J68" s="17"/>
      <c r="K68" s="17"/>
      <c r="L68" s="17"/>
      <c r="M68" s="17"/>
      <c r="N68" s="17"/>
      <c r="O68" s="17"/>
      <c r="P68" s="17"/>
      <c r="Q68" s="17"/>
      <c r="R68" s="17"/>
      <c r="AO68" s="1155"/>
      <c r="AP68" s="1155"/>
      <c r="AQ68" s="1155"/>
    </row>
    <row r="69" spans="2:43" ht="15" customHeight="1" x14ac:dyDescent="0.25">
      <c r="AO69" s="1155"/>
      <c r="AP69" s="1155"/>
      <c r="AQ69" s="1155"/>
    </row>
    <row r="70" spans="2:43" ht="15" customHeight="1" x14ac:dyDescent="0.25">
      <c r="AO70" s="1155"/>
      <c r="AP70" s="1155"/>
      <c r="AQ70" s="1155"/>
    </row>
    <row r="71" spans="2:43" ht="15" customHeight="1" x14ac:dyDescent="0.25">
      <c r="Z71" s="44"/>
      <c r="AA71" s="44"/>
      <c r="AB71" s="44"/>
      <c r="AC71" s="44"/>
      <c r="AE71" s="44"/>
      <c r="AF71" s="44"/>
      <c r="AG71" s="44"/>
      <c r="AH71" s="44"/>
      <c r="AO71" s="1156"/>
      <c r="AP71" s="1156"/>
      <c r="AQ71" s="1156"/>
    </row>
  </sheetData>
  <sheetProtection algorithmName="SHA-512" hashValue="jdhlbqy85sE+pAhIu0S4ADBC/9iEqFE1U2YyABC9Ot01nOKxtPezHbNwlpYBsWmIEnHh5RjQ087aCpZWgGH1uQ==" saltValue="uRuukVW6hfaHhEkFFi+iLQ==" spinCount="100000" sheet="1" objects="1" scenarios="1" selectLockedCells="1"/>
  <dataConsolidate/>
  <mergeCells count="76">
    <mergeCell ref="S4:V8"/>
    <mergeCell ref="D37:I37"/>
    <mergeCell ref="K37:P37"/>
    <mergeCell ref="D39:I39"/>
    <mergeCell ref="K39:P39"/>
    <mergeCell ref="D31:I31"/>
    <mergeCell ref="D33:I33"/>
    <mergeCell ref="K31:P31"/>
    <mergeCell ref="K33:P33"/>
    <mergeCell ref="D14:E15"/>
    <mergeCell ref="K14:L15"/>
    <mergeCell ref="K24:L25"/>
    <mergeCell ref="K34:L35"/>
    <mergeCell ref="K17:P17"/>
    <mergeCell ref="K21:P21"/>
    <mergeCell ref="K19:P19"/>
    <mergeCell ref="X57:Z59"/>
    <mergeCell ref="AA57:AB58"/>
    <mergeCell ref="AA59:AB59"/>
    <mergeCell ref="AI11:AI14"/>
    <mergeCell ref="AH11:AH14"/>
    <mergeCell ref="AD11:AD14"/>
    <mergeCell ref="AG11:AG14"/>
    <mergeCell ref="X56:Z56"/>
    <mergeCell ref="AQ9:AQ14"/>
    <mergeCell ref="AJ2:AJ5"/>
    <mergeCell ref="AA2:AC3"/>
    <mergeCell ref="AD2:AI3"/>
    <mergeCell ref="AO66:AO71"/>
    <mergeCell ref="AL21:AL24"/>
    <mergeCell ref="AJ11:AJ14"/>
    <mergeCell ref="AF11:AF14"/>
    <mergeCell ref="AD5:AI5"/>
    <mergeCell ref="AP9:AP14"/>
    <mergeCell ref="AO9:AO14"/>
    <mergeCell ref="AL36:AL39"/>
    <mergeCell ref="AL31:AL34"/>
    <mergeCell ref="AL9:AN14"/>
    <mergeCell ref="AL16:AL19"/>
    <mergeCell ref="AP66:AP71"/>
    <mergeCell ref="AQ66:AQ71"/>
    <mergeCell ref="AL26:AL29"/>
    <mergeCell ref="AL51:AL54"/>
    <mergeCell ref="AL41:AL44"/>
    <mergeCell ref="AL46:AL49"/>
    <mergeCell ref="AQ56:AQ61"/>
    <mergeCell ref="AL2:AP4"/>
    <mergeCell ref="AO56:AO61"/>
    <mergeCell ref="AP56:AP61"/>
    <mergeCell ref="K44:L45"/>
    <mergeCell ref="D43:I43"/>
    <mergeCell ref="D51:I51"/>
    <mergeCell ref="K51:P51"/>
    <mergeCell ref="D47:I47"/>
    <mergeCell ref="K43:P43"/>
    <mergeCell ref="D44:E45"/>
    <mergeCell ref="D34:E35"/>
    <mergeCell ref="D17:I17"/>
    <mergeCell ref="D19:I19"/>
    <mergeCell ref="D21:I21"/>
    <mergeCell ref="D24:E25"/>
    <mergeCell ref="D41:I41"/>
    <mergeCell ref="D9:E9"/>
    <mergeCell ref="G9:O11"/>
    <mergeCell ref="D53:I53"/>
    <mergeCell ref="K53:P53"/>
    <mergeCell ref="D49:I49"/>
    <mergeCell ref="K49:P49"/>
    <mergeCell ref="D23:I23"/>
    <mergeCell ref="K23:P23"/>
    <mergeCell ref="D27:I27"/>
    <mergeCell ref="D29:I29"/>
    <mergeCell ref="K27:P27"/>
    <mergeCell ref="K29:P29"/>
    <mergeCell ref="K41:P41"/>
    <mergeCell ref="K47:P47"/>
  </mergeCells>
  <conditionalFormatting sqref="D3 P3 D5 D67 P67">
    <cfRule type="expression" dxfId="49" priority="84">
      <formula>$A$1="A255255255"</formula>
    </cfRule>
    <cfRule type="expression" dxfId="48" priority="85">
      <formula>$A$1="A000000000"</formula>
    </cfRule>
  </conditionalFormatting>
  <conditionalFormatting sqref="D7">
    <cfRule type="expression" dxfId="47" priority="86">
      <formula>$Y$3=1</formula>
    </cfRule>
  </conditionalFormatting>
  <conditionalFormatting sqref="D13">
    <cfRule type="expression" dxfId="46" priority="8324">
      <formula>$T$59=1</formula>
    </cfRule>
  </conditionalFormatting>
  <conditionalFormatting sqref="D16:E16 D18:E18 D20:E20 D22:E22 D26:E26 D28:E28 D30:E30 D32:E32 D36:E36 D38:E38 D40:E40 D42:E42 D46:E46 D48:E48 D50:E50 D52:E52">
    <cfRule type="expression" dxfId="45" priority="243">
      <formula>$Y17="LEEG"</formula>
    </cfRule>
    <cfRule type="expression" dxfId="44" priority="8290">
      <formula>$Y17="GOED"</formula>
    </cfRule>
    <cfRule type="expression" dxfId="43" priority="8299">
      <formula>OR($Y17="DUBBEL",$Y17="ONGELDIG")</formula>
    </cfRule>
  </conditionalFormatting>
  <conditionalFormatting sqref="K16:L16 K18:L18 K20:L20 K22:L22 K26:L26 K28:L28 K30:L30 K32:L32 K36:L36 K38:L38 K40:L40 K42:L42 K46:L46 K48:L48 K50:L50 K52:L52">
    <cfRule type="expression" dxfId="42" priority="244">
      <formula>$Z17="LEEG"</formula>
    </cfRule>
    <cfRule type="expression" dxfId="41" priority="8298">
      <formula>$Z17="GOED"</formula>
    </cfRule>
    <cfRule type="expression" dxfId="40" priority="8300">
      <formula>OR($Z17="DUBBEL",$Z17="ONGELDIG")</formula>
    </cfRule>
  </conditionalFormatting>
  <conditionalFormatting sqref="AL9:AQ71">
    <cfRule type="expression" dxfId="39" priority="97">
      <formula>AND($AC$7=0,$AC$11=0)</formula>
    </cfRule>
  </conditionalFormatting>
  <conditionalFormatting sqref="AL16:AQ19">
    <cfRule type="expression" dxfId="38" priority="105">
      <formula>$AF$6="JA"</formula>
    </cfRule>
  </conditionalFormatting>
  <conditionalFormatting sqref="AL21:AQ24">
    <cfRule type="expression" dxfId="37" priority="123">
      <formula>$AH$6="JA"</formula>
    </cfRule>
  </conditionalFormatting>
  <conditionalFormatting sqref="AL26:AQ29">
    <cfRule type="expression" dxfId="36" priority="106">
      <formula>$AF$7="JA"</formula>
    </cfRule>
  </conditionalFormatting>
  <conditionalFormatting sqref="AL31:AQ34">
    <cfRule type="expression" dxfId="35" priority="124">
      <formula>$AH$7="JA"</formula>
    </cfRule>
  </conditionalFormatting>
  <conditionalFormatting sqref="AL36:AQ39">
    <cfRule type="expression" dxfId="34" priority="107">
      <formula>$AF$8="JA"</formula>
    </cfRule>
  </conditionalFormatting>
  <conditionalFormatting sqref="AL41:AQ44">
    <cfRule type="expression" dxfId="33" priority="126">
      <formula>$AH$8="JA"</formula>
    </cfRule>
  </conditionalFormatting>
  <conditionalFormatting sqref="AL46:AQ49">
    <cfRule type="expression" dxfId="32" priority="108">
      <formula>$AF$9="JA"</formula>
    </cfRule>
  </conditionalFormatting>
  <conditionalFormatting sqref="AL51:AQ64">
    <cfRule type="expression" dxfId="31" priority="127">
      <formula>$AH$9="JA"</formula>
    </cfRule>
  </conditionalFormatting>
  <conditionalFormatting sqref="AO66:AQ71">
    <cfRule type="expression" dxfId="30" priority="1">
      <formula>$A$45="H"</formula>
    </cfRule>
  </conditionalFormatting>
  <conditionalFormatting sqref="AP9:AQ71">
    <cfRule type="expression" dxfId="29" priority="98">
      <formula>AND($AC$7=0,$AC$11=1)</formula>
    </cfRule>
  </conditionalFormatting>
  <dataValidations count="9">
    <dataValidation type="list" allowBlank="1" showInputMessage="1" showErrorMessage="1" sqref="D9" xr:uid="{00000000-0002-0000-1100-000000000000}">
      <formula1>$T$9:$T$11</formula1>
    </dataValidation>
    <dataValidation type="list" allowBlank="1" showInputMessage="1" showErrorMessage="1" sqref="E22 E32 E42 E52" xr:uid="{00000000-0002-0000-1100-000001000000}">
      <formula1>T15:T19</formula1>
    </dataValidation>
    <dataValidation type="list" allowBlank="1" showInputMessage="1" showErrorMessage="1" sqref="L16 L46 L36 L26" xr:uid="{00000000-0002-0000-1100-000002000000}">
      <formula1>T20:T24</formula1>
    </dataValidation>
    <dataValidation type="list" allowBlank="1" showInputMessage="1" showErrorMessage="1" sqref="L18 L38 L48 L28" xr:uid="{00000000-0002-0000-1100-000003000000}">
      <formula1>T20:T24</formula1>
    </dataValidation>
    <dataValidation type="list" allowBlank="1" showInputMessage="1" showErrorMessage="1" sqref="L20 L50 L40 L30" xr:uid="{00000000-0002-0000-1100-000004000000}">
      <formula1>T20:T24</formula1>
    </dataValidation>
    <dataValidation type="list" allowBlank="1" showInputMessage="1" showErrorMessage="1" sqref="L22 L52 L42 L32" xr:uid="{00000000-0002-0000-1100-000005000000}">
      <formula1>T20:T24</formula1>
    </dataValidation>
    <dataValidation type="list" allowBlank="1" showInputMessage="1" showErrorMessage="1" sqref="E16 E26 E46 E36" xr:uid="{00000000-0002-0000-1100-000006000000}">
      <formula1>T15:T19</formula1>
    </dataValidation>
    <dataValidation type="list" allowBlank="1" showInputMessage="1" showErrorMessage="1" sqref="E18 E28 E38 E48" xr:uid="{00000000-0002-0000-1100-000007000000}">
      <formula1>T15:T19</formula1>
    </dataValidation>
    <dataValidation type="list" allowBlank="1" showInputMessage="1" showErrorMessage="1" sqref="E20 E30 E40 E50" xr:uid="{00000000-0002-0000-1100-000008000000}">
      <formula1>T15:T19</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Taal01</vt:lpstr>
      <vt:lpstr>Taal02</vt:lpstr>
      <vt:lpstr>Taal03</vt:lpstr>
      <vt:lpstr>Taal04</vt:lpstr>
      <vt:lpstr>Voorblad</vt:lpstr>
      <vt:lpstr>Reglement</vt:lpstr>
      <vt:lpstr>Prijzenpot</vt:lpstr>
      <vt:lpstr>Groepswedstrijden</vt:lpstr>
      <vt:lpstr>Eindstand Groep</vt:lpstr>
      <vt:lpstr>Finalewedstrijden</vt:lpstr>
      <vt:lpstr>Teams</vt:lpstr>
      <vt:lpstr>Deelnamecode</vt:lpstr>
      <vt:lpstr>DEENAMECODE</vt:lpstr>
      <vt:lpstr>Deelnamecode!Print_Area</vt:lpstr>
      <vt:lpstr>'Eindstand Groep'!Print_Area</vt:lpstr>
      <vt:lpstr>Finalewedstrijden!Print_Area</vt:lpstr>
      <vt:lpstr>Groepswedstrijden!Print_Area</vt:lpstr>
      <vt:lpstr>Prijzenpot!Print_Area</vt:lpstr>
      <vt:lpstr>Reglement!Print_Area</vt:lpstr>
      <vt:lpstr>Teams!Print_Area</vt:lpstr>
      <vt:lpstr>Voorblad!Print_Area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dc:creator>
  <cp:lastModifiedBy>Arne van Noorloos</cp:lastModifiedBy>
  <cp:lastPrinted>2024-03-13T21:09:19Z</cp:lastPrinted>
  <dcterms:created xsi:type="dcterms:W3CDTF">2008-04-11T17:46:19Z</dcterms:created>
  <dcterms:modified xsi:type="dcterms:W3CDTF">2024-06-13T08:58:59Z</dcterms:modified>
</cp:coreProperties>
</file>